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DHS Files8.14.24\Financial Reports\2025-2026\"/>
    </mc:Choice>
  </mc:AlternateContent>
  <xr:revisionPtr revIDLastSave="0" documentId="13_ncr:1_{8E8AA508-C9F2-4948-8A75-0F60E3ECF084}" xr6:coauthVersionLast="36" xr6:coauthVersionMax="36" xr10:uidLastSave="{00000000-0000-0000-0000-000000000000}"/>
  <bookViews>
    <workbookView xWindow="0" yWindow="0" windowWidth="23040" windowHeight="9264" xr2:uid="{8E7798D3-6D8B-446F-9220-066A2E979454}"/>
  </bookViews>
  <sheets>
    <sheet name="25-26 Draft Budget Board Meetig" sheetId="2" r:id="rId1"/>
    <sheet name="Textbooks.Class Supplies" sheetId="7" r:id="rId2"/>
    <sheet name="Clubs" sheetId="6" state="hidden" r:id="rId3"/>
    <sheet name="Flooring" sheetId="5" r:id="rId4"/>
    <sheet name="Teacher Pay" sheetId="3" r:id="rId5"/>
    <sheet name="Insuracen" sheetId="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2" l="1"/>
  <c r="G35" i="4"/>
  <c r="H39" i="4" l="1"/>
  <c r="E38" i="4"/>
  <c r="E39" i="4" s="1"/>
  <c r="E4" i="7" l="1"/>
  <c r="E12" i="7" s="1"/>
  <c r="G19" i="5" l="1"/>
  <c r="N18" i="5"/>
  <c r="I17" i="5"/>
  <c r="D14" i="5"/>
  <c r="E14" i="5" s="1"/>
  <c r="D15" i="5"/>
  <c r="E15" i="5" s="1"/>
  <c r="D16" i="5"/>
  <c r="E16" i="5" s="1"/>
  <c r="D17" i="5"/>
  <c r="E17" i="5" s="1"/>
  <c r="D13" i="5"/>
  <c r="E13" i="5" s="1"/>
  <c r="D26" i="5"/>
  <c r="D24" i="5"/>
  <c r="D25" i="5" s="1"/>
  <c r="G13" i="5"/>
  <c r="E9" i="5"/>
  <c r="E4" i="5"/>
  <c r="E5" i="5"/>
  <c r="E6" i="5"/>
  <c r="E7" i="5"/>
  <c r="E3" i="5"/>
  <c r="D4" i="5"/>
  <c r="D5" i="5"/>
  <c r="D6" i="5"/>
  <c r="D7" i="5"/>
  <c r="D3" i="5"/>
  <c r="G29" i="5"/>
  <c r="E19" i="5" l="1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" i="3"/>
  <c r="G35" i="2" l="1"/>
  <c r="D21" i="6" l="1"/>
  <c r="C7" i="6"/>
  <c r="G29" i="2" l="1"/>
  <c r="G78" i="4" l="1"/>
  <c r="H78" i="4"/>
  <c r="G79" i="4"/>
  <c r="H79" i="4" s="1"/>
  <c r="G80" i="4"/>
  <c r="H80" i="4" s="1"/>
  <c r="G81" i="4"/>
  <c r="H81" i="4"/>
  <c r="G82" i="4"/>
  <c r="H82" i="4" s="1"/>
  <c r="G83" i="4"/>
  <c r="H83" i="4" s="1"/>
  <c r="G84" i="4"/>
  <c r="H84" i="4" s="1"/>
  <c r="G85" i="4"/>
  <c r="H85" i="4" s="1"/>
  <c r="G86" i="4"/>
  <c r="H86" i="4" s="1"/>
  <c r="G50" i="4"/>
  <c r="H50" i="4" s="1"/>
  <c r="G51" i="4"/>
  <c r="H51" i="4" s="1"/>
  <c r="G52" i="4"/>
  <c r="H52" i="4" s="1"/>
  <c r="G53" i="4"/>
  <c r="H53" i="4"/>
  <c r="G54" i="4"/>
  <c r="H54" i="4" s="1"/>
  <c r="G55" i="4"/>
  <c r="H55" i="4" s="1"/>
  <c r="G56" i="4"/>
  <c r="H56" i="4" s="1"/>
  <c r="G57" i="4"/>
  <c r="H57" i="4"/>
  <c r="G58" i="4"/>
  <c r="H58" i="4" s="1"/>
  <c r="G59" i="4"/>
  <c r="H59" i="4" s="1"/>
  <c r="G60" i="4"/>
  <c r="H60" i="4" s="1"/>
  <c r="G61" i="4"/>
  <c r="H61" i="4"/>
  <c r="G62" i="4"/>
  <c r="H62" i="4" s="1"/>
  <c r="G63" i="4"/>
  <c r="H63" i="4" s="1"/>
  <c r="G64" i="4"/>
  <c r="H64" i="4" s="1"/>
  <c r="G65" i="4"/>
  <c r="H65" i="4"/>
  <c r="G66" i="4"/>
  <c r="H66" i="4" s="1"/>
  <c r="G67" i="4"/>
  <c r="H67" i="4" s="1"/>
  <c r="G68" i="4"/>
  <c r="H68" i="4"/>
  <c r="G69" i="4"/>
  <c r="H69" i="4"/>
  <c r="G70" i="4"/>
  <c r="H70" i="4" s="1"/>
  <c r="G71" i="4"/>
  <c r="H71" i="4" s="1"/>
  <c r="G72" i="4"/>
  <c r="H72" i="4"/>
  <c r="G73" i="4"/>
  <c r="H73" i="4"/>
  <c r="G74" i="4"/>
  <c r="H74" i="4" s="1"/>
  <c r="G75" i="4"/>
  <c r="H75" i="4" s="1"/>
  <c r="G76" i="4"/>
  <c r="H76" i="4"/>
  <c r="G77" i="4"/>
  <c r="H77" i="4"/>
  <c r="H49" i="4"/>
  <c r="G49" i="4"/>
  <c r="H87" i="4" l="1"/>
  <c r="V37" i="4" l="1"/>
  <c r="U37" i="4"/>
  <c r="U34" i="4"/>
  <c r="R34" i="4"/>
  <c r="U33" i="4"/>
  <c r="R33" i="4"/>
  <c r="U32" i="4"/>
  <c r="R32" i="4"/>
  <c r="U31" i="4"/>
  <c r="R31" i="4"/>
  <c r="U30" i="4"/>
  <c r="R30" i="4"/>
  <c r="U29" i="4"/>
  <c r="R29" i="4"/>
  <c r="U28" i="4"/>
  <c r="R28" i="4"/>
  <c r="U27" i="4"/>
  <c r="R27" i="4"/>
  <c r="U26" i="4"/>
  <c r="R26" i="4"/>
  <c r="U25" i="4"/>
  <c r="R25" i="4"/>
  <c r="U24" i="4"/>
  <c r="R24" i="4"/>
  <c r="U23" i="4"/>
  <c r="R23" i="4"/>
  <c r="U22" i="4"/>
  <c r="R22" i="4"/>
  <c r="U21" i="4"/>
  <c r="R21" i="4"/>
  <c r="U20" i="4"/>
  <c r="R20" i="4"/>
  <c r="U19" i="4"/>
  <c r="R19" i="4"/>
  <c r="U18" i="4"/>
  <c r="R18" i="4"/>
  <c r="U17" i="4"/>
  <c r="R17" i="4"/>
  <c r="U16" i="4"/>
  <c r="R16" i="4"/>
  <c r="U15" i="4"/>
  <c r="R15" i="4"/>
  <c r="U14" i="4"/>
  <c r="R14" i="4"/>
  <c r="U13" i="4"/>
  <c r="R13" i="4"/>
  <c r="U12" i="4"/>
  <c r="R12" i="4"/>
  <c r="U11" i="4"/>
  <c r="R11" i="4"/>
  <c r="U10" i="4"/>
  <c r="R10" i="4"/>
  <c r="U9" i="4"/>
  <c r="R9" i="4"/>
  <c r="U8" i="4"/>
  <c r="R8" i="4"/>
  <c r="U7" i="4"/>
  <c r="R7" i="4"/>
  <c r="U6" i="4"/>
  <c r="R6" i="4"/>
  <c r="U5" i="4"/>
  <c r="R5" i="4"/>
  <c r="U4" i="4"/>
  <c r="R4" i="4"/>
  <c r="U3" i="4"/>
  <c r="R3" i="4"/>
  <c r="U2" i="4"/>
  <c r="R2" i="4"/>
  <c r="R37" i="4" l="1"/>
  <c r="K37" i="4" l="1"/>
  <c r="K38" i="4"/>
  <c r="K39" i="4"/>
  <c r="K36" i="4"/>
  <c r="K3" i="4"/>
  <c r="K4" i="4"/>
  <c r="K5" i="4"/>
  <c r="K6" i="4"/>
  <c r="K41" i="4" s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2" i="4"/>
  <c r="G5" i="5" l="1"/>
  <c r="H5" i="5" s="1"/>
  <c r="G6" i="5"/>
  <c r="H6" i="5" s="1"/>
  <c r="G7" i="5"/>
  <c r="H7" i="5" s="1"/>
  <c r="G8" i="5"/>
  <c r="H8" i="5" s="1"/>
  <c r="G9" i="5"/>
  <c r="H9" i="5" s="1"/>
  <c r="G4" i="5"/>
  <c r="H4" i="5" s="1"/>
  <c r="H26" i="5" l="1"/>
  <c r="G46" i="2" l="1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2" i="4"/>
  <c r="G34" i="4"/>
  <c r="G33" i="4"/>
  <c r="G32" i="4"/>
  <c r="G2" i="4"/>
  <c r="G3" i="4"/>
  <c r="G4" i="4"/>
  <c r="J43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5" i="4"/>
  <c r="G39" i="2"/>
  <c r="G30" i="2"/>
  <c r="G28" i="2"/>
  <c r="G38" i="4" l="1"/>
  <c r="G43" i="4" s="1"/>
  <c r="K43" i="4" s="1"/>
  <c r="L27" i="3"/>
  <c r="M26" i="3"/>
  <c r="L25" i="3"/>
  <c r="B25" i="3"/>
  <c r="P22" i="3"/>
  <c r="P25" i="3" s="1"/>
  <c r="Q25" i="3"/>
  <c r="G18" i="2" l="1"/>
  <c r="H133" i="2" l="1"/>
  <c r="C3" i="2" l="1"/>
  <c r="B3" i="2" s="1"/>
  <c r="G24" i="2" l="1"/>
  <c r="G15" i="2" l="1"/>
  <c r="C31" i="2"/>
  <c r="G31" i="2" s="1"/>
  <c r="D33" i="2"/>
  <c r="D32" i="2"/>
  <c r="D41" i="2"/>
  <c r="D40" i="2"/>
  <c r="F3" i="2" l="1"/>
  <c r="H3" i="2" s="1"/>
  <c r="G23" i="2"/>
  <c r="G158" i="2" l="1"/>
  <c r="G153" i="2"/>
  <c r="G152" i="2"/>
  <c r="G151" i="2"/>
  <c r="G149" i="2"/>
  <c r="G147" i="2"/>
  <c r="G146" i="2"/>
  <c r="G139" i="2"/>
  <c r="H119" i="2"/>
  <c r="G113" i="2"/>
  <c r="H111" i="2"/>
  <c r="H107" i="2"/>
  <c r="H104" i="2"/>
  <c r="G90" i="2"/>
  <c r="G89" i="2"/>
  <c r="G81" i="2"/>
  <c r="G80" i="2"/>
  <c r="G79" i="2"/>
  <c r="G77" i="2"/>
  <c r="G67" i="2"/>
  <c r="G64" i="2"/>
  <c r="G62" i="2"/>
  <c r="G61" i="2"/>
  <c r="C59" i="2"/>
  <c r="H54" i="2"/>
  <c r="G48" i="2"/>
  <c r="E47" i="2"/>
  <c r="G47" i="2" s="1"/>
  <c r="G41" i="2"/>
  <c r="G40" i="2"/>
  <c r="G37" i="2"/>
  <c r="G33" i="2"/>
  <c r="G32" i="2"/>
  <c r="G22" i="2"/>
  <c r="G21" i="2"/>
  <c r="F7" i="2"/>
  <c r="F49" i="2" l="1"/>
  <c r="E49" i="2"/>
  <c r="G44" i="2" s="1"/>
  <c r="H74" i="2"/>
  <c r="H154" i="2"/>
  <c r="H114" i="2"/>
  <c r="H161" i="2"/>
  <c r="H91" i="2"/>
  <c r="H163" i="2"/>
  <c r="G42" i="2" l="1"/>
  <c r="F50" i="2" s="1"/>
  <c r="H49" i="2" l="1"/>
  <c r="H164" i="2" s="1"/>
  <c r="H165" i="2" s="1"/>
  <c r="I39" i="4" l="1"/>
  <c r="I38" i="4"/>
</calcChain>
</file>

<file path=xl/sharedStrings.xml><?xml version="1.0" encoding="utf-8"?>
<sst xmlns="http://schemas.openxmlformats.org/spreadsheetml/2006/main" count="426" uniqueCount="250">
  <si>
    <t>Total Funding</t>
  </si>
  <si>
    <t>FTE Allotment</t>
  </si>
  <si>
    <t>Total Budget</t>
  </si>
  <si>
    <t>Recalibrated FTE</t>
  </si>
  <si>
    <t>Student Allotment</t>
  </si>
  <si>
    <t xml:space="preserve"> </t>
  </si>
  <si>
    <t>FEFP=</t>
  </si>
  <si>
    <t># of REAL Students</t>
  </si>
  <si>
    <t>Capital Outlay - State PECO</t>
  </si>
  <si>
    <t>Building Rental</t>
  </si>
  <si>
    <t>Months</t>
  </si>
  <si>
    <t>E-Rate (Century Link voice &amp; Data)</t>
  </si>
  <si>
    <t>Interest Income</t>
  </si>
  <si>
    <t>SALARIES</t>
  </si>
  <si>
    <t xml:space="preserve">ESOL Specialist </t>
  </si>
  <si>
    <t>1 Director of Instruction (12 Month)</t>
  </si>
  <si>
    <t>Step 1</t>
  </si>
  <si>
    <t xml:space="preserve">1 Director of Operations (12 Month) </t>
  </si>
  <si>
    <t>Step 2</t>
  </si>
  <si>
    <t xml:space="preserve">1 Administrative Assistant (12 month) </t>
  </si>
  <si>
    <t xml:space="preserve">Instructional Positions - </t>
  </si>
  <si>
    <t>Admin Training Salary</t>
  </si>
  <si>
    <t>extra periods @ $25/hr</t>
  </si>
  <si>
    <t xml:space="preserve">Campus Custodian 12 month </t>
  </si>
  <si>
    <t>Campus Custodian Overtime</t>
  </si>
  <si>
    <t>Substitutes</t>
  </si>
  <si>
    <t xml:space="preserve">Media Support 12 mo </t>
  </si>
  <si>
    <t>days</t>
  </si>
  <si>
    <t xml:space="preserve">Front Desk 10 mo </t>
  </si>
  <si>
    <t>Includes Bus</t>
  </si>
  <si>
    <t xml:space="preserve">Front Desk Assistant </t>
  </si>
  <si>
    <t xml:space="preserve">Bus Driver PT </t>
  </si>
  <si>
    <t>Tutoring</t>
  </si>
  <si>
    <t>**</t>
  </si>
  <si>
    <t>Athletic Coach Supplements</t>
  </si>
  <si>
    <t>Club Supplements</t>
  </si>
  <si>
    <t>Early / Late</t>
  </si>
  <si>
    <t>Payout of Directors Days Off</t>
  </si>
  <si>
    <r>
      <rPr>
        <sz val="9"/>
        <rFont val="Arial"/>
        <family val="2"/>
      </rPr>
      <t>Custodian/Maintenance 12 mo -</t>
    </r>
    <r>
      <rPr>
        <b/>
        <sz val="9"/>
        <rFont val="Arial"/>
        <family val="2"/>
      </rPr>
      <t xml:space="preserve"> Lilly</t>
    </r>
  </si>
  <si>
    <t>Custodian/Maintenance Part Time</t>
  </si>
  <si>
    <t>Crossing Guard</t>
  </si>
  <si>
    <t>SS/Medicare/Unemployment fees @ 12% of salary</t>
  </si>
  <si>
    <t xml:space="preserve">Medical Ins. &amp; VGTL @ approx. 17.5%  </t>
  </si>
  <si>
    <t>Work Comp @ 1.0% of salary (6.38% of $200,000)</t>
  </si>
  <si>
    <t>*Grant Employee FRS</t>
  </si>
  <si>
    <t xml:space="preserve">*Grant Employees Healthcare </t>
  </si>
  <si>
    <t>Title I</t>
  </si>
  <si>
    <t xml:space="preserve">Total Salaries </t>
  </si>
  <si>
    <t xml:space="preserve">FL Retirement </t>
  </si>
  <si>
    <t>Total Benefits</t>
  </si>
  <si>
    <t>NDHS Balance Funding for SRO (Guardian)</t>
  </si>
  <si>
    <t>Mental Health Assistance Allocation - District keeps</t>
  </si>
  <si>
    <t>Total Safe School &amp; Mental Health Costs</t>
  </si>
  <si>
    <t>Facilities</t>
  </si>
  <si>
    <t>Electric</t>
  </si>
  <si>
    <t>x 12 months</t>
  </si>
  <si>
    <t>Water</t>
  </si>
  <si>
    <t>Trash Pick up</t>
  </si>
  <si>
    <t>Phone &amp; Internet cable @</t>
  </si>
  <si>
    <t>Maint. Supplies</t>
  </si>
  <si>
    <t>Mortgage - Old</t>
  </si>
  <si>
    <t>X 12 months</t>
  </si>
  <si>
    <t>Mortgage - New</t>
  </si>
  <si>
    <t>Safety Code Modifications/Retro-Fitting</t>
  </si>
  <si>
    <t>Lawn Maintenance</t>
  </si>
  <si>
    <t>/month</t>
  </si>
  <si>
    <t>Pest Control - Massey</t>
  </si>
  <si>
    <t>Monthly Fire Safety Inspections (Preferred Fire)</t>
  </si>
  <si>
    <t xml:space="preserve">Air Conditioning Service </t>
  </si>
  <si>
    <t>General Maintenance</t>
  </si>
  <si>
    <t>Storm damage Insurance deductible</t>
  </si>
  <si>
    <t>Fire Alarm Monitoring (State Alarm)</t>
  </si>
  <si>
    <t>Inspections - Water Risers (Fire Life Safety Am)</t>
  </si>
  <si>
    <t>Lift Station Maintenance</t>
  </si>
  <si>
    <t>x 2 per year</t>
  </si>
  <si>
    <t>Total Facilities</t>
  </si>
  <si>
    <t>Insurance</t>
  </si>
  <si>
    <t>General Liability, Property</t>
  </si>
  <si>
    <t>D&amp;O</t>
  </si>
  <si>
    <t>Auto/GL/Crime/Umbrella</t>
  </si>
  <si>
    <t xml:space="preserve">Athletic Insurance  </t>
  </si>
  <si>
    <t>FHSAA Membership Fee</t>
  </si>
  <si>
    <t>Total Insurance</t>
  </si>
  <si>
    <t>Transportation</t>
  </si>
  <si>
    <t>Bus Fuel</t>
  </si>
  <si>
    <t>NDHS Bus maintenance</t>
  </si>
  <si>
    <t>Bus Purchase</t>
  </si>
  <si>
    <t>Bus Driver Training</t>
  </si>
  <si>
    <t>Total Transportation</t>
  </si>
  <si>
    <t>Materials and Supplies</t>
  </si>
  <si>
    <t>Media/AV Materials/Laptops</t>
  </si>
  <si>
    <t>DE/AP Instructional /Textbooks</t>
  </si>
  <si>
    <t>Valencia DE x $72/hour/yr</t>
  </si>
  <si>
    <t>Credits</t>
  </si>
  <si>
    <t>Musical Theater</t>
  </si>
  <si>
    <t>Administrative</t>
  </si>
  <si>
    <t xml:space="preserve">PE Equipment  </t>
  </si>
  <si>
    <t>Class Room FFE</t>
  </si>
  <si>
    <t>Office Supplies</t>
  </si>
  <si>
    <t>Total Materials and Supplies</t>
  </si>
  <si>
    <t>Postage</t>
  </si>
  <si>
    <t>Total Postage</t>
  </si>
  <si>
    <t>Graduation Facility Rental</t>
  </si>
  <si>
    <t>SAC / Title I</t>
  </si>
  <si>
    <t>Total Events</t>
  </si>
  <si>
    <t>Graduation Diplomas</t>
  </si>
  <si>
    <t>Printing and Copying</t>
  </si>
  <si>
    <t>Total Printing and Copying</t>
  </si>
  <si>
    <t>Staff Development &amp; Incentive Pay &amp; AP Training</t>
  </si>
  <si>
    <t>AP / CTE Bonus</t>
  </si>
  <si>
    <t>Teacher Appreciation</t>
  </si>
  <si>
    <t>Total Staff Development</t>
  </si>
  <si>
    <t>Professional Services</t>
  </si>
  <si>
    <t>Monthly reports</t>
  </si>
  <si>
    <t>Accountant/Audit</t>
  </si>
  <si>
    <t>Notary</t>
  </si>
  <si>
    <t>Contract Staff (ESE)</t>
  </si>
  <si>
    <t>HR Contracted Services</t>
  </si>
  <si>
    <t>BOD Training</t>
  </si>
  <si>
    <t>Floor Refinishing</t>
  </si>
  <si>
    <t>Legal Fees</t>
  </si>
  <si>
    <t>Advertising</t>
  </si>
  <si>
    <t>Total Professional Services</t>
  </si>
  <si>
    <t>Technology</t>
  </si>
  <si>
    <t>Alarm Monitoring Services</t>
  </si>
  <si>
    <t>File Server/monitoring - LEVCO TECH</t>
  </si>
  <si>
    <t>`</t>
  </si>
  <si>
    <t>Software Licenses WP, ZOOM, QB</t>
  </si>
  <si>
    <t>Adobe (CTE Exam)</t>
  </si>
  <si>
    <t>Follette</t>
  </si>
  <si>
    <t>Time Management</t>
  </si>
  <si>
    <t>Edmentum (Math and Study Island)</t>
  </si>
  <si>
    <t>IXL</t>
  </si>
  <si>
    <t>School Announcement</t>
  </si>
  <si>
    <t>Google Enterprise (AP Exam)</t>
  </si>
  <si>
    <t>iObservation</t>
  </si>
  <si>
    <t>ISONAS - Auto Doors</t>
  </si>
  <si>
    <t>Front Line (Teachers to Teachers) / Indeed</t>
  </si>
  <si>
    <t>RAVE Panic Button</t>
  </si>
  <si>
    <t>PTLW License</t>
  </si>
  <si>
    <t>Advanced/Cognia Accreditation</t>
  </si>
  <si>
    <t>CTE Licenses - Photo Shop</t>
  </si>
  <si>
    <t>Navigate 360</t>
  </si>
  <si>
    <t>Total Technology</t>
  </si>
  <si>
    <t>Special Programs</t>
  </si>
  <si>
    <t>PLTW - Bio Medical supplies &amp; training</t>
  </si>
  <si>
    <t>Florida Virtual School</t>
  </si>
  <si>
    <t>AP Exams</t>
  </si>
  <si>
    <t xml:space="preserve">Total Revenue for the Year </t>
  </si>
  <si>
    <t>Total Expenditures for the year</t>
  </si>
  <si>
    <t>Net Revenue</t>
  </si>
  <si>
    <t>Admin Fee</t>
  </si>
  <si>
    <t>E-Rate Cat 2</t>
  </si>
  <si>
    <t>Administrative Incentive @ $1,500</t>
  </si>
  <si>
    <t xml:space="preserve">Local Capital Improvement </t>
  </si>
  <si>
    <t>LMHP</t>
  </si>
  <si>
    <t>CPR Training</t>
  </si>
  <si>
    <t>Capital Improvements (Campus Remodel)</t>
  </si>
  <si>
    <t>Current</t>
  </si>
  <si>
    <t>2025-2026</t>
  </si>
  <si>
    <t>Anderson, Paula</t>
  </si>
  <si>
    <t>Arguelles, Zulma</t>
  </si>
  <si>
    <t>Corso, Valarie</t>
  </si>
  <si>
    <t>Cutler, Hazel</t>
  </si>
  <si>
    <t>Justin, Hensey</t>
  </si>
  <si>
    <t>Dunn, Kevin</t>
  </si>
  <si>
    <t>Finn, Laura</t>
  </si>
  <si>
    <t>English Teacher</t>
  </si>
  <si>
    <t>Finnucan, Kathleen</t>
  </si>
  <si>
    <t>PE Tacher</t>
  </si>
  <si>
    <t>Finlay, Alexandra</t>
  </si>
  <si>
    <t>Friberg, Torren</t>
  </si>
  <si>
    <t>Gonzalez, Cavin</t>
  </si>
  <si>
    <t>Hernandez, Carlos</t>
  </si>
  <si>
    <t>Keser, Brian</t>
  </si>
  <si>
    <t>Lynn, Angie</t>
  </si>
  <si>
    <t>Livingston, Iesha</t>
  </si>
  <si>
    <t>Maldonado, Jessie</t>
  </si>
  <si>
    <t>Meyer, Michael</t>
  </si>
  <si>
    <t>Mujica, Karla</t>
  </si>
  <si>
    <t>Pelaez, Carlos</t>
  </si>
  <si>
    <t>Rodriguez, Samantha</t>
  </si>
  <si>
    <t>Taylor-Beckford, Terry Ann</t>
  </si>
  <si>
    <t>Timmerman, John</t>
  </si>
  <si>
    <t>Torres, Magdalena</t>
  </si>
  <si>
    <t>T</t>
  </si>
  <si>
    <t>Williams, Zachary</t>
  </si>
  <si>
    <t>Taylor-Beckford</t>
  </si>
  <si>
    <t>Gilmore, Fe;ecia</t>
  </si>
  <si>
    <t>Molina, Lilie</t>
  </si>
  <si>
    <t>Rivas, Juan</t>
  </si>
  <si>
    <t>Pavon, Mayra</t>
  </si>
  <si>
    <t>Morillo, Rinally</t>
  </si>
  <si>
    <t>Alfers</t>
  </si>
  <si>
    <t>Mezzina</t>
  </si>
  <si>
    <t>Plaza, Dilcia</t>
  </si>
  <si>
    <t>Sanchez, Wanda</t>
  </si>
  <si>
    <t>Sosa, Rada</t>
  </si>
  <si>
    <t>Diego</t>
  </si>
  <si>
    <t>Carmen</t>
  </si>
  <si>
    <t>Richard</t>
  </si>
  <si>
    <t>Efrain</t>
  </si>
  <si>
    <t>Ricardo</t>
  </si>
  <si>
    <t>Roti</t>
  </si>
  <si>
    <t>FL Retirement @ 14.03% of salary (Includes Extra periods)</t>
  </si>
  <si>
    <t>Bonus</t>
  </si>
  <si>
    <t>FRS Audit</t>
  </si>
  <si>
    <t>Reserves Funds Campus Renovation</t>
  </si>
  <si>
    <t>Reserves Funds FRS Audit</t>
  </si>
  <si>
    <t>Summer Help</t>
  </si>
  <si>
    <r>
      <t xml:space="preserve">New Dimensions High School 2025-2026 Budget </t>
    </r>
    <r>
      <rPr>
        <sz val="10"/>
        <rFont val="Arial"/>
        <family val="2"/>
      </rPr>
      <t>(updated 6.23.2025)</t>
    </r>
  </si>
  <si>
    <t>Athletics</t>
  </si>
  <si>
    <t>Basketball</t>
  </si>
  <si>
    <t>Coaching Exp</t>
  </si>
  <si>
    <t>Gate Duty</t>
  </si>
  <si>
    <t>Art</t>
  </si>
  <si>
    <t>Film</t>
  </si>
  <si>
    <t>Dance</t>
  </si>
  <si>
    <t>NHS</t>
  </si>
  <si>
    <t>Interact</t>
  </si>
  <si>
    <t>Band</t>
  </si>
  <si>
    <t>Theater</t>
  </si>
  <si>
    <t>STEM</t>
  </si>
  <si>
    <t>Senior</t>
  </si>
  <si>
    <t>Mentor</t>
  </si>
  <si>
    <t>Student Council</t>
  </si>
  <si>
    <t>Ody of Mind</t>
  </si>
  <si>
    <t>No Soccer</t>
  </si>
  <si>
    <t>Diego Pay for 40 Hours Covered by NDHS</t>
  </si>
  <si>
    <t>Johnny 4 HRS Per day covered by NDHS</t>
  </si>
  <si>
    <t>Johnny Added Work / Ops Contract $3,000</t>
  </si>
  <si>
    <t>Supplies coved by NDHS</t>
  </si>
  <si>
    <t>Dual Fall</t>
  </si>
  <si>
    <t>Dual Spring</t>
  </si>
  <si>
    <t>Teacher Lead</t>
  </si>
  <si>
    <t>Meyer Science</t>
  </si>
  <si>
    <t>Arguelles Science</t>
  </si>
  <si>
    <t>Wishlist Amazon #1</t>
  </si>
  <si>
    <t>Friberg Piano</t>
  </si>
  <si>
    <t>Friberg Subscription</t>
  </si>
  <si>
    <t>Wishlist Amazon #2</t>
  </si>
  <si>
    <t>Turned in</t>
  </si>
  <si>
    <t>Plan</t>
  </si>
  <si>
    <t>G</t>
  </si>
  <si>
    <t>X</t>
  </si>
  <si>
    <t xml:space="preserve">P </t>
  </si>
  <si>
    <t>P</t>
  </si>
  <si>
    <t>W</t>
  </si>
  <si>
    <t>Novak</t>
  </si>
  <si>
    <t>Stobs, 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</si>
</sst>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trike/>
      <sz val="9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5" fillId="0" borderId="1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8" fontId="5" fillId="2" borderId="1" xfId="0" applyNumberFormat="1" applyFont="1" applyFill="1" applyBorder="1" applyAlignment="1">
      <alignment horizontal="left" wrapText="1"/>
    </xf>
    <xf numFmtId="8" fontId="5" fillId="2" borderId="2" xfId="0" applyNumberFormat="1" applyFont="1" applyFill="1" applyBorder="1" applyAlignment="1">
      <alignment horizontal="left" wrapText="1"/>
    </xf>
    <xf numFmtId="0" fontId="5" fillId="2" borderId="2" xfId="0" applyNumberFormat="1" applyFont="1" applyFill="1" applyBorder="1" applyAlignment="1">
      <alignment horizontal="left" wrapText="1"/>
    </xf>
    <xf numFmtId="8" fontId="5" fillId="2" borderId="2" xfId="0" applyNumberFormat="1" applyFont="1" applyFill="1" applyBorder="1" applyAlignment="1">
      <alignment horizontal="center" wrapText="1"/>
    </xf>
    <xf numFmtId="8" fontId="6" fillId="2" borderId="3" xfId="0" applyNumberFormat="1" applyFont="1" applyFill="1" applyBorder="1" applyAlignment="1">
      <alignment horizontal="right" wrapText="1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2" xfId="0" applyFont="1" applyFill="1" applyBorder="1"/>
    <xf numFmtId="164" fontId="5" fillId="3" borderId="2" xfId="0" applyNumberFormat="1" applyFont="1" applyFill="1" applyBorder="1" applyAlignment="1">
      <alignment wrapText="1"/>
    </xf>
    <xf numFmtId="0" fontId="5" fillId="0" borderId="2" xfId="0" applyFont="1" applyFill="1" applyBorder="1"/>
    <xf numFmtId="164" fontId="6" fillId="3" borderId="2" xfId="0" applyNumberFormat="1" applyFont="1" applyFill="1" applyBorder="1"/>
    <xf numFmtId="164" fontId="5" fillId="3" borderId="2" xfId="0" applyNumberFormat="1" applyFont="1" applyFill="1" applyBorder="1"/>
    <xf numFmtId="164" fontId="5" fillId="3" borderId="3" xfId="0" applyNumberFormat="1" applyFont="1" applyFill="1" applyBorder="1"/>
    <xf numFmtId="164" fontId="6" fillId="3" borderId="3" xfId="0" applyNumberFormat="1" applyFont="1" applyFill="1" applyBorder="1"/>
    <xf numFmtId="0" fontId="5" fillId="0" borderId="1" xfId="0" applyFont="1" applyFill="1" applyBorder="1"/>
    <xf numFmtId="0" fontId="6" fillId="0" borderId="2" xfId="0" applyFont="1" applyFill="1" applyBorder="1"/>
    <xf numFmtId="8" fontId="5" fillId="0" borderId="2" xfId="0" applyNumberFormat="1" applyFont="1" applyFill="1" applyBorder="1"/>
    <xf numFmtId="164" fontId="5" fillId="0" borderId="2" xfId="0" applyNumberFormat="1" applyFont="1" applyFill="1" applyBorder="1"/>
    <xf numFmtId="164" fontId="6" fillId="0" borderId="3" xfId="0" applyNumberFormat="1" applyFont="1" applyFill="1" applyBorder="1"/>
    <xf numFmtId="0" fontId="5" fillId="0" borderId="1" xfId="0" applyFont="1" applyBorder="1"/>
    <xf numFmtId="0" fontId="5" fillId="0" borderId="2" xfId="0" applyFont="1" applyBorder="1"/>
    <xf numFmtId="164" fontId="5" fillId="0" borderId="2" xfId="0" applyNumberFormat="1" applyFont="1" applyBorder="1"/>
    <xf numFmtId="164" fontId="6" fillId="0" borderId="2" xfId="0" applyNumberFormat="1" applyFont="1" applyBorder="1"/>
    <xf numFmtId="0" fontId="6" fillId="0" borderId="2" xfId="0" applyFont="1" applyBorder="1"/>
    <xf numFmtId="164" fontId="6" fillId="0" borderId="3" xfId="0" applyNumberFormat="1" applyFont="1" applyBorder="1"/>
    <xf numFmtId="164" fontId="6" fillId="0" borderId="2" xfId="0" applyNumberFormat="1" applyFont="1" applyFill="1" applyBorder="1"/>
    <xf numFmtId="0" fontId="6" fillId="0" borderId="1" xfId="0" applyFont="1" applyBorder="1"/>
    <xf numFmtId="0" fontId="6" fillId="0" borderId="1" xfId="0" applyFont="1" applyFill="1" applyBorder="1"/>
    <xf numFmtId="0" fontId="5" fillId="0" borderId="0" xfId="0" applyFont="1" applyFill="1" applyBorder="1"/>
    <xf numFmtId="0" fontId="6" fillId="3" borderId="2" xfId="0" applyFont="1" applyFill="1" applyBorder="1" applyAlignment="1">
      <alignment horizontal="left"/>
    </xf>
    <xf numFmtId="164" fontId="6" fillId="0" borderId="3" xfId="0" applyNumberFormat="1" applyFont="1" applyBorder="1" applyAlignment="1">
      <alignment wrapText="1"/>
    </xf>
    <xf numFmtId="0" fontId="6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7" fillId="0" borderId="2" xfId="0" applyFont="1" applyFill="1" applyBorder="1"/>
    <xf numFmtId="164" fontId="6" fillId="0" borderId="3" xfId="0" applyNumberFormat="1" applyFont="1" applyFill="1" applyBorder="1" applyAlignment="1">
      <alignment wrapText="1"/>
    </xf>
    <xf numFmtId="0" fontId="6" fillId="0" borderId="2" xfId="0" applyFont="1" applyBorder="1" applyAlignment="1">
      <alignment horizontal="left"/>
    </xf>
    <xf numFmtId="164" fontId="8" fillId="0" borderId="2" xfId="0" applyNumberFormat="1" applyFont="1" applyFill="1" applyBorder="1"/>
    <xf numFmtId="7" fontId="5" fillId="0" borderId="2" xfId="1" applyNumberFormat="1" applyFont="1" applyFill="1" applyBorder="1"/>
    <xf numFmtId="44" fontId="0" fillId="0" borderId="0" xfId="1" applyFont="1"/>
    <xf numFmtId="8" fontId="6" fillId="0" borderId="2" xfId="0" applyNumberFormat="1" applyFont="1" applyFill="1" applyBorder="1"/>
    <xf numFmtId="0" fontId="9" fillId="3" borderId="2" xfId="0" applyFont="1" applyFill="1" applyBorder="1"/>
    <xf numFmtId="164" fontId="9" fillId="3" borderId="2" xfId="0" applyNumberFormat="1" applyFont="1" applyFill="1" applyBorder="1"/>
    <xf numFmtId="0" fontId="8" fillId="0" borderId="2" xfId="0" applyFont="1" applyBorder="1"/>
    <xf numFmtId="0" fontId="11" fillId="0" borderId="2" xfId="0" applyFont="1" applyBorder="1"/>
    <xf numFmtId="164" fontId="11" fillId="0" borderId="2" xfId="0" applyNumberFormat="1" applyFont="1" applyBorder="1"/>
    <xf numFmtId="0" fontId="8" fillId="0" borderId="2" xfId="0" applyFont="1" applyFill="1" applyBorder="1"/>
    <xf numFmtId="164" fontId="11" fillId="0" borderId="2" xfId="0" applyNumberFormat="1" applyFont="1" applyFill="1" applyBorder="1"/>
    <xf numFmtId="0" fontId="12" fillId="0" borderId="2" xfId="0" applyFont="1" applyFill="1" applyBorder="1"/>
    <xf numFmtId="0" fontId="4" fillId="0" borderId="2" xfId="0" applyFont="1" applyFill="1" applyBorder="1"/>
    <xf numFmtId="6" fontId="5" fillId="0" borderId="2" xfId="0" applyNumberFormat="1" applyFont="1" applyFill="1" applyBorder="1"/>
    <xf numFmtId="0" fontId="13" fillId="0" borderId="2" xfId="0" applyFont="1" applyFill="1" applyBorder="1"/>
    <xf numFmtId="6" fontId="6" fillId="0" borderId="2" xfId="0" applyNumberFormat="1" applyFont="1" applyFill="1" applyBorder="1"/>
    <xf numFmtId="0" fontId="10" fillId="0" borderId="2" xfId="0" applyFont="1" applyFill="1" applyBorder="1"/>
    <xf numFmtId="0" fontId="14" fillId="0" borderId="2" xfId="0" applyFont="1" applyFill="1" applyBorder="1"/>
    <xf numFmtId="0" fontId="15" fillId="0" borderId="2" xfId="0" applyFont="1" applyFill="1" applyBorder="1" applyAlignment="1">
      <alignment vertical="center"/>
    </xf>
    <xf numFmtId="0" fontId="11" fillId="0" borderId="2" xfId="0" applyFont="1" applyFill="1" applyBorder="1"/>
    <xf numFmtId="164" fontId="10" fillId="0" borderId="2" xfId="0" applyNumberFormat="1" applyFont="1" applyFill="1" applyBorder="1"/>
    <xf numFmtId="0" fontId="0" fillId="0" borderId="0" xfId="0" applyFill="1" applyBorder="1"/>
    <xf numFmtId="8" fontId="0" fillId="0" borderId="0" xfId="0" applyNumberFormat="1" applyFill="1" applyBorder="1"/>
    <xf numFmtId="44" fontId="0" fillId="0" borderId="0" xfId="1" applyFont="1" applyFill="1" applyBorder="1"/>
    <xf numFmtId="0" fontId="0" fillId="3" borderId="0" xfId="0" applyFill="1"/>
    <xf numFmtId="16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4" fontId="10" fillId="0" borderId="3" xfId="0" applyNumberFormat="1" applyFont="1" applyBorder="1"/>
    <xf numFmtId="164" fontId="11" fillId="0" borderId="3" xfId="0" applyNumberFormat="1" applyFont="1" applyFill="1" applyBorder="1"/>
    <xf numFmtId="0" fontId="5" fillId="0" borderId="3" xfId="0" applyFont="1" applyFill="1" applyBorder="1"/>
    <xf numFmtId="0" fontId="0" fillId="0" borderId="3" xfId="0" applyFill="1" applyBorder="1"/>
    <xf numFmtId="0" fontId="13" fillId="0" borderId="1" xfId="0" applyFont="1" applyFill="1" applyBorder="1"/>
    <xf numFmtId="0" fontId="12" fillId="0" borderId="3" xfId="0" applyFont="1" applyFill="1" applyBorder="1"/>
    <xf numFmtId="0" fontId="4" fillId="0" borderId="3" xfId="0" applyFont="1" applyFill="1" applyBorder="1"/>
    <xf numFmtId="164" fontId="5" fillId="0" borderId="3" xfId="0" applyNumberFormat="1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6" fillId="0" borderId="7" xfId="0" applyFont="1" applyFill="1" applyBorder="1"/>
    <xf numFmtId="164" fontId="5" fillId="0" borderId="7" xfId="0" applyNumberFormat="1" applyFont="1" applyFill="1" applyBorder="1"/>
    <xf numFmtId="164" fontId="6" fillId="0" borderId="8" xfId="0" applyNumberFormat="1" applyFont="1" applyFill="1" applyBorder="1"/>
    <xf numFmtId="0" fontId="0" fillId="0" borderId="0" xfId="0" applyFill="1"/>
    <xf numFmtId="0" fontId="0" fillId="0" borderId="1" xfId="0" applyBorder="1" applyAlignment="1"/>
    <xf numFmtId="44" fontId="0" fillId="0" borderId="2" xfId="1" applyFont="1" applyBorder="1" applyAlignment="1"/>
    <xf numFmtId="0" fontId="0" fillId="0" borderId="2" xfId="0" applyBorder="1"/>
    <xf numFmtId="44" fontId="0" fillId="0" borderId="0" xfId="0" applyNumberFormat="1"/>
    <xf numFmtId="0" fontId="0" fillId="4" borderId="1" xfId="0" applyFill="1" applyBorder="1" applyAlignment="1"/>
    <xf numFmtId="44" fontId="0" fillId="4" borderId="2" xfId="1" applyFont="1" applyFill="1" applyBorder="1" applyAlignment="1"/>
    <xf numFmtId="0" fontId="0" fillId="4" borderId="0" xfId="0" applyFill="1"/>
    <xf numFmtId="0" fontId="0" fillId="0" borderId="1" xfId="0" applyFill="1" applyBorder="1" applyAlignment="1"/>
    <xf numFmtId="44" fontId="0" fillId="0" borderId="2" xfId="1" applyFont="1" applyFill="1" applyBorder="1" applyAlignment="1"/>
    <xf numFmtId="0" fontId="0" fillId="0" borderId="9" xfId="0" applyFill="1" applyBorder="1"/>
    <xf numFmtId="0" fontId="0" fillId="0" borderId="2" xfId="0" applyFill="1" applyBorder="1"/>
    <xf numFmtId="0" fontId="0" fillId="0" borderId="10" xfId="0" applyFill="1" applyBorder="1" applyAlignment="1"/>
    <xf numFmtId="44" fontId="0" fillId="0" borderId="0" xfId="0" applyNumberFormat="1" applyFill="1" applyBorder="1"/>
    <xf numFmtId="3" fontId="0" fillId="0" borderId="0" xfId="0" applyNumberFormat="1"/>
    <xf numFmtId="8" fontId="0" fillId="0" borderId="0" xfId="0" applyNumberFormat="1"/>
    <xf numFmtId="0" fontId="0" fillId="0" borderId="12" xfId="0" applyFill="1" applyBorder="1"/>
    <xf numFmtId="0" fontId="0" fillId="0" borderId="2" xfId="0" applyBorder="1" applyAlignment="1"/>
    <xf numFmtId="44" fontId="0" fillId="0" borderId="2" xfId="0" applyNumberFormat="1" applyBorder="1"/>
    <xf numFmtId="0" fontId="0" fillId="4" borderId="2" xfId="0" applyFill="1" applyBorder="1" applyAlignment="1"/>
    <xf numFmtId="0" fontId="0" fillId="0" borderId="2" xfId="0" applyFill="1" applyBorder="1" applyAlignment="1"/>
    <xf numFmtId="44" fontId="0" fillId="4" borderId="2" xfId="0" applyNumberFormat="1" applyFill="1" applyBorder="1"/>
    <xf numFmtId="9" fontId="0" fillId="0" borderId="0" xfId="0" applyNumberFormat="1"/>
    <xf numFmtId="16" fontId="0" fillId="0" borderId="0" xfId="0" applyNumberFormat="1"/>
    <xf numFmtId="6" fontId="0" fillId="0" borderId="0" xfId="0" applyNumberFormat="1"/>
    <xf numFmtId="164" fontId="0" fillId="0" borderId="0" xfId="0" applyNumberFormat="1"/>
    <xf numFmtId="8" fontId="0" fillId="0" borderId="2" xfId="1" applyNumberFormat="1" applyFont="1" applyFill="1" applyBorder="1" applyAlignment="1"/>
    <xf numFmtId="0" fontId="0" fillId="4" borderId="10" xfId="0" applyFill="1" applyBorder="1" applyAlignment="1"/>
    <xf numFmtId="44" fontId="0" fillId="0" borderId="0" xfId="1" applyFont="1" applyFill="1" applyBorder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BAEF-CDB9-406C-890C-A80D9AE30B44}">
  <dimension ref="A1:J192"/>
  <sheetViews>
    <sheetView tabSelected="1" zoomScale="120" zoomScaleNormal="120" workbookViewId="0">
      <pane ySplit="1" topLeftCell="A5" activePane="bottomLeft" state="frozen"/>
      <selection pane="bottomLeft" activeCell="K10" sqref="K10"/>
    </sheetView>
  </sheetViews>
  <sheetFormatPr defaultRowHeight="14.4" x14ac:dyDescent="0.3"/>
  <cols>
    <col min="1" max="1" width="9" customWidth="1"/>
    <col min="2" max="2" width="28.109375" customWidth="1"/>
    <col min="3" max="3" width="23.44140625" customWidth="1"/>
    <col min="4" max="4" width="12.44140625" bestFit="1" customWidth="1"/>
    <col min="5" max="5" width="15" customWidth="1"/>
    <col min="6" max="6" width="16.6640625" customWidth="1"/>
    <col min="7" max="7" width="12.6640625" customWidth="1"/>
    <col min="8" max="8" width="16.88671875" customWidth="1"/>
    <col min="9" max="10" width="10" bestFit="1" customWidth="1"/>
  </cols>
  <sheetData>
    <row r="1" spans="1:8" ht="35.4" customHeight="1" x14ac:dyDescent="0.3">
      <c r="A1" s="111" t="s">
        <v>210</v>
      </c>
      <c r="B1" s="112"/>
      <c r="C1" s="112"/>
      <c r="D1" s="112"/>
      <c r="E1" s="112"/>
      <c r="F1" s="112"/>
      <c r="G1" s="112"/>
      <c r="H1" s="113"/>
    </row>
    <row r="2" spans="1:8" ht="24" x14ac:dyDescent="0.3">
      <c r="A2" s="1"/>
      <c r="B2" s="2" t="s">
        <v>2</v>
      </c>
      <c r="C2" s="2" t="s">
        <v>3</v>
      </c>
      <c r="D2" s="2" t="s">
        <v>4</v>
      </c>
      <c r="E2" s="3" t="s">
        <v>5</v>
      </c>
      <c r="F2" s="4" t="s">
        <v>0</v>
      </c>
      <c r="G2" s="4" t="s">
        <v>151</v>
      </c>
      <c r="H2" s="5" t="s">
        <v>1</v>
      </c>
    </row>
    <row r="3" spans="1:8" ht="26.4" customHeight="1" x14ac:dyDescent="0.3">
      <c r="A3" s="6" t="s">
        <v>6</v>
      </c>
      <c r="B3" s="7">
        <f>C3*D3</f>
        <v>3708625.375</v>
      </c>
      <c r="C3" s="8">
        <f>C4*98.75%</f>
        <v>449.3125</v>
      </c>
      <c r="D3" s="7">
        <v>8254</v>
      </c>
      <c r="E3" s="7"/>
      <c r="F3" s="7">
        <f>B3</f>
        <v>3708625.375</v>
      </c>
      <c r="G3" s="9">
        <v>40000</v>
      </c>
      <c r="H3" s="10">
        <f>F3-G3</f>
        <v>3668625.375</v>
      </c>
    </row>
    <row r="4" spans="1:8" x14ac:dyDescent="0.3">
      <c r="A4" s="11" t="s">
        <v>7</v>
      </c>
      <c r="B4" s="12"/>
      <c r="C4" s="13">
        <v>455</v>
      </c>
      <c r="D4" s="14"/>
      <c r="E4" s="15"/>
      <c r="F4" s="16"/>
      <c r="G4" s="17"/>
      <c r="H4" s="18"/>
    </row>
    <row r="5" spans="1:8" x14ac:dyDescent="0.3">
      <c r="A5" s="11" t="s">
        <v>8</v>
      </c>
      <c r="B5" s="12"/>
      <c r="C5" s="12"/>
      <c r="D5" s="16"/>
      <c r="E5" s="12"/>
      <c r="F5" s="12"/>
      <c r="G5" s="17"/>
      <c r="H5" s="19">
        <v>272060</v>
      </c>
    </row>
    <row r="6" spans="1:8" x14ac:dyDescent="0.3">
      <c r="A6" s="11" t="s">
        <v>154</v>
      </c>
      <c r="B6" s="12"/>
      <c r="C6" s="13"/>
      <c r="D6" s="13"/>
      <c r="E6" s="12"/>
      <c r="F6" s="12"/>
      <c r="G6" s="17"/>
      <c r="H6" s="19">
        <v>65425</v>
      </c>
    </row>
    <row r="7" spans="1:8" x14ac:dyDescent="0.3">
      <c r="A7" s="20" t="s">
        <v>5</v>
      </c>
      <c r="B7" s="15"/>
      <c r="C7" s="21"/>
      <c r="D7" s="21"/>
      <c r="E7" s="15"/>
      <c r="F7" s="22">
        <f>C4*D3</f>
        <v>3755570</v>
      </c>
      <c r="G7" s="23"/>
      <c r="H7" s="24">
        <v>0</v>
      </c>
    </row>
    <row r="8" spans="1:8" x14ac:dyDescent="0.3">
      <c r="A8" s="25" t="s">
        <v>9</v>
      </c>
      <c r="B8" s="26"/>
      <c r="C8" s="27">
        <v>2000</v>
      </c>
      <c r="D8" s="26">
        <v>12</v>
      </c>
      <c r="E8" s="26" t="s">
        <v>10</v>
      </c>
      <c r="F8" s="26"/>
      <c r="G8" s="26"/>
      <c r="H8" s="30">
        <v>26000</v>
      </c>
    </row>
    <row r="9" spans="1:8" x14ac:dyDescent="0.3">
      <c r="A9" s="25" t="s">
        <v>11</v>
      </c>
      <c r="B9" s="26"/>
      <c r="C9" s="28"/>
      <c r="D9" s="29"/>
      <c r="E9" s="29"/>
      <c r="F9" s="21"/>
      <c r="G9" s="29"/>
      <c r="H9" s="30">
        <v>12299.9</v>
      </c>
    </row>
    <row r="10" spans="1:8" x14ac:dyDescent="0.3">
      <c r="A10" s="25" t="s">
        <v>152</v>
      </c>
      <c r="B10" s="26"/>
      <c r="C10" s="28"/>
      <c r="D10" s="29"/>
      <c r="E10" s="29"/>
      <c r="F10" s="21"/>
      <c r="G10" s="29"/>
      <c r="H10" s="30">
        <v>60279.35</v>
      </c>
    </row>
    <row r="11" spans="1:8" x14ac:dyDescent="0.3">
      <c r="A11" s="20" t="s">
        <v>12</v>
      </c>
      <c r="B11" s="15"/>
      <c r="C11" s="21"/>
      <c r="D11" s="31"/>
      <c r="E11" s="21"/>
      <c r="F11" s="21"/>
      <c r="G11" s="21"/>
      <c r="H11" s="19">
        <v>29525</v>
      </c>
    </row>
    <row r="12" spans="1:8" x14ac:dyDescent="0.3">
      <c r="A12" s="20" t="s">
        <v>207</v>
      </c>
      <c r="B12" s="29"/>
      <c r="C12" s="29"/>
      <c r="D12" s="29"/>
      <c r="E12" s="29"/>
      <c r="F12" s="29"/>
      <c r="G12" s="29"/>
      <c r="H12" s="24">
        <v>523633.93</v>
      </c>
    </row>
    <row r="13" spans="1:8" x14ac:dyDescent="0.3">
      <c r="A13" s="20" t="s">
        <v>208</v>
      </c>
      <c r="B13" s="29"/>
      <c r="C13" s="29"/>
      <c r="D13" s="29"/>
      <c r="E13" s="29"/>
      <c r="F13" s="29"/>
      <c r="G13" s="29"/>
      <c r="H13" s="30">
        <v>47770.35</v>
      </c>
    </row>
    <row r="14" spans="1:8" x14ac:dyDescent="0.3">
      <c r="A14" s="32" t="s">
        <v>13</v>
      </c>
      <c r="B14" s="26"/>
      <c r="C14" s="26"/>
      <c r="D14" s="26"/>
      <c r="E14" s="26"/>
      <c r="F14" s="26"/>
      <c r="G14" s="27"/>
      <c r="H14" s="30"/>
    </row>
    <row r="15" spans="1:8" x14ac:dyDescent="0.3">
      <c r="A15" s="33"/>
      <c r="B15" s="34" t="s">
        <v>14</v>
      </c>
      <c r="C15" s="15"/>
      <c r="D15" s="15"/>
      <c r="E15" s="15"/>
      <c r="F15" s="15"/>
      <c r="G15" s="17">
        <f>8343*103%</f>
        <v>8593.2900000000009</v>
      </c>
      <c r="H15" s="19"/>
    </row>
    <row r="16" spans="1:8" s="82" customFormat="1" x14ac:dyDescent="0.3">
      <c r="A16" s="20">
        <v>7300</v>
      </c>
      <c r="B16" s="15" t="s">
        <v>15</v>
      </c>
      <c r="C16" s="15" t="s">
        <v>16</v>
      </c>
      <c r="D16" s="15"/>
      <c r="E16" s="15"/>
      <c r="F16" s="15"/>
      <c r="G16" s="23">
        <v>94350</v>
      </c>
      <c r="H16" s="98"/>
    </row>
    <row r="17" spans="1:8" s="82" customFormat="1" x14ac:dyDescent="0.3">
      <c r="A17" s="20">
        <v>7300</v>
      </c>
      <c r="B17" s="15" t="s">
        <v>17</v>
      </c>
      <c r="C17" s="15" t="s">
        <v>18</v>
      </c>
      <c r="D17" s="15"/>
      <c r="E17" s="15"/>
      <c r="F17" s="15"/>
      <c r="G17" s="23">
        <v>95370</v>
      </c>
      <c r="H17" s="24"/>
    </row>
    <row r="18" spans="1:8" x14ac:dyDescent="0.3">
      <c r="A18" s="25">
        <v>7300</v>
      </c>
      <c r="B18" s="15" t="s">
        <v>19</v>
      </c>
      <c r="C18" s="15"/>
      <c r="D18" s="15"/>
      <c r="E18" s="15"/>
      <c r="F18" s="15"/>
      <c r="G18" s="23">
        <f>53457*103%</f>
        <v>55060.71</v>
      </c>
      <c r="H18" s="24"/>
    </row>
    <row r="19" spans="1:8" x14ac:dyDescent="0.3">
      <c r="A19" s="20"/>
      <c r="B19" s="15" t="s">
        <v>5</v>
      </c>
      <c r="C19" s="15"/>
      <c r="D19" s="15"/>
      <c r="E19" s="15"/>
      <c r="F19" s="15"/>
      <c r="G19" s="23">
        <v>0</v>
      </c>
      <c r="H19" s="24"/>
    </row>
    <row r="20" spans="1:8" x14ac:dyDescent="0.3">
      <c r="A20" s="25"/>
      <c r="B20" s="35">
        <v>22.5</v>
      </c>
      <c r="C20" s="12" t="s">
        <v>20</v>
      </c>
      <c r="D20" s="12"/>
      <c r="E20" s="23">
        <v>55850</v>
      </c>
      <c r="F20" s="12"/>
      <c r="G20" s="17">
        <v>1244249.28</v>
      </c>
      <c r="H20" s="36"/>
    </row>
    <row r="21" spans="1:8" x14ac:dyDescent="0.3">
      <c r="A21" s="20"/>
      <c r="B21" s="37">
        <v>1</v>
      </c>
      <c r="C21" s="38" t="s">
        <v>21</v>
      </c>
      <c r="D21" s="39"/>
      <c r="E21" s="23">
        <v>230.54</v>
      </c>
      <c r="F21" s="21">
        <v>0</v>
      </c>
      <c r="G21" s="23">
        <f>SUM(E21*B21*F21)</f>
        <v>0</v>
      </c>
      <c r="H21" s="40"/>
    </row>
    <row r="22" spans="1:8" x14ac:dyDescent="0.3">
      <c r="A22" s="25"/>
      <c r="B22" s="37">
        <v>13</v>
      </c>
      <c r="C22" s="12" t="s">
        <v>22</v>
      </c>
      <c r="D22" s="12"/>
      <c r="E22" s="17"/>
      <c r="F22" s="12"/>
      <c r="G22" s="17">
        <f>SUM(B22)*25*7.5*18</f>
        <v>43875</v>
      </c>
      <c r="H22" s="36"/>
    </row>
    <row r="23" spans="1:8" x14ac:dyDescent="0.3">
      <c r="A23" s="25"/>
      <c r="B23" s="41">
        <v>1</v>
      </c>
      <c r="C23" s="26" t="s">
        <v>153</v>
      </c>
      <c r="D23" s="26"/>
      <c r="E23" s="27"/>
      <c r="F23" s="26"/>
      <c r="G23" s="23">
        <f>1500*2</f>
        <v>3000</v>
      </c>
      <c r="H23" s="36"/>
    </row>
    <row r="24" spans="1:8" x14ac:dyDescent="0.3">
      <c r="A24" s="25"/>
      <c r="B24" s="41">
        <v>1</v>
      </c>
      <c r="C24" s="26" t="s">
        <v>23</v>
      </c>
      <c r="D24" s="26"/>
      <c r="E24" s="27"/>
      <c r="F24" s="26"/>
      <c r="G24" s="27">
        <f>35500*107%</f>
        <v>37985</v>
      </c>
      <c r="H24" s="36"/>
    </row>
    <row r="25" spans="1:8" x14ac:dyDescent="0.3">
      <c r="A25" s="25"/>
      <c r="B25" s="41"/>
      <c r="C25" s="26" t="s">
        <v>24</v>
      </c>
      <c r="D25" s="26"/>
      <c r="E25" s="27"/>
      <c r="F25" s="26"/>
      <c r="G25" s="27">
        <v>6500</v>
      </c>
      <c r="H25" s="36"/>
    </row>
    <row r="26" spans="1:8" x14ac:dyDescent="0.3">
      <c r="A26" s="25"/>
      <c r="B26" s="37"/>
      <c r="C26" s="15" t="s">
        <v>209</v>
      </c>
      <c r="D26" s="15"/>
      <c r="E26" s="23"/>
      <c r="F26" s="15"/>
      <c r="G26" s="23">
        <v>2500</v>
      </c>
      <c r="H26" s="36"/>
    </row>
    <row r="27" spans="1:8" x14ac:dyDescent="0.3">
      <c r="A27" s="25">
        <v>5000</v>
      </c>
      <c r="B27" s="15" t="s">
        <v>25</v>
      </c>
      <c r="C27" s="15"/>
      <c r="D27" s="15"/>
      <c r="E27" s="15"/>
      <c r="F27" s="15"/>
      <c r="G27" s="23">
        <v>18000</v>
      </c>
      <c r="H27" s="30"/>
    </row>
    <row r="28" spans="1:8" x14ac:dyDescent="0.3">
      <c r="A28" s="20">
        <v>6200</v>
      </c>
      <c r="B28" s="38" t="s">
        <v>26</v>
      </c>
      <c r="C28" s="15">
        <v>254</v>
      </c>
      <c r="D28" s="15" t="s">
        <v>27</v>
      </c>
      <c r="E28" s="23"/>
      <c r="F28" s="15"/>
      <c r="G28" s="42">
        <f>38370.72*103%</f>
        <v>39521.8416</v>
      </c>
      <c r="H28" s="24" t="s">
        <v>5</v>
      </c>
    </row>
    <row r="29" spans="1:8" x14ac:dyDescent="0.3">
      <c r="A29" s="25">
        <v>7300</v>
      </c>
      <c r="B29" s="15" t="s">
        <v>28</v>
      </c>
      <c r="C29" s="15"/>
      <c r="D29" s="15"/>
      <c r="E29" s="23"/>
      <c r="F29" s="15"/>
      <c r="G29" s="23">
        <f>43064.16*103%</f>
        <v>44356.084800000004</v>
      </c>
      <c r="H29" s="24" t="s">
        <v>29</v>
      </c>
    </row>
    <row r="30" spans="1:8" x14ac:dyDescent="0.3">
      <c r="A30" s="25"/>
      <c r="B30" s="12" t="s">
        <v>30</v>
      </c>
      <c r="C30" s="12"/>
      <c r="D30" s="12"/>
      <c r="E30" s="17"/>
      <c r="F30" s="12"/>
      <c r="G30" s="17">
        <f>33223.68*103%</f>
        <v>34220.390400000004</v>
      </c>
      <c r="H30" s="19"/>
    </row>
    <row r="31" spans="1:8" x14ac:dyDescent="0.3">
      <c r="A31" s="25"/>
      <c r="B31" s="15" t="s">
        <v>31</v>
      </c>
      <c r="C31" s="15">
        <f>34.2*103%</f>
        <v>35.226000000000006</v>
      </c>
      <c r="D31" s="55"/>
      <c r="E31" s="15">
        <v>1</v>
      </c>
      <c r="F31" s="15">
        <v>186</v>
      </c>
      <c r="G31" s="23">
        <f>C31*E31*F31</f>
        <v>6552.036000000001</v>
      </c>
      <c r="H31" s="24"/>
    </row>
    <row r="32" spans="1:8" x14ac:dyDescent="0.3">
      <c r="A32" s="20"/>
      <c r="B32" s="15" t="s">
        <v>31</v>
      </c>
      <c r="C32" s="15">
        <v>1</v>
      </c>
      <c r="D32" s="43">
        <f>18.02*103%</f>
        <v>18.560600000000001</v>
      </c>
      <c r="E32" s="15">
        <v>4</v>
      </c>
      <c r="F32" s="15">
        <v>186</v>
      </c>
      <c r="G32" s="23">
        <f>SUM(C32*D32*E32*F32)*103%</f>
        <v>14223.358992000001</v>
      </c>
      <c r="H32" s="24"/>
    </row>
    <row r="33" spans="1:9" x14ac:dyDescent="0.3">
      <c r="A33" s="20"/>
      <c r="B33" s="15" t="s">
        <v>31</v>
      </c>
      <c r="C33" s="15">
        <v>2</v>
      </c>
      <c r="D33" s="43">
        <f>18.02*103%</f>
        <v>18.560600000000001</v>
      </c>
      <c r="E33" s="15">
        <v>4</v>
      </c>
      <c r="F33" s="15">
        <v>186</v>
      </c>
      <c r="G33" s="23">
        <f>SUM(C33*D33*E33*F33)*103%</f>
        <v>28446.717984000003</v>
      </c>
      <c r="H33" s="24"/>
    </row>
    <row r="34" spans="1:9" x14ac:dyDescent="0.3">
      <c r="A34" s="20"/>
      <c r="B34" s="12" t="s">
        <v>32</v>
      </c>
      <c r="C34" s="12"/>
      <c r="D34" s="43"/>
      <c r="E34" s="12"/>
      <c r="F34" s="12"/>
      <c r="G34" s="17">
        <v>10000</v>
      </c>
      <c r="H34" s="19"/>
    </row>
    <row r="35" spans="1:9" x14ac:dyDescent="0.3">
      <c r="A35" s="20" t="s">
        <v>33</v>
      </c>
      <c r="B35" s="15" t="s">
        <v>34</v>
      </c>
      <c r="C35" s="15"/>
      <c r="D35" s="15"/>
      <c r="E35" s="15"/>
      <c r="F35" s="15"/>
      <c r="G35" s="23">
        <f>22900+250</f>
        <v>23150</v>
      </c>
      <c r="H35" s="24"/>
    </row>
    <row r="36" spans="1:9" x14ac:dyDescent="0.3">
      <c r="A36" s="20" t="s">
        <v>33</v>
      </c>
      <c r="B36" s="15" t="s">
        <v>35</v>
      </c>
      <c r="C36" s="15"/>
      <c r="D36" s="15"/>
      <c r="E36" s="15"/>
      <c r="F36" s="15"/>
      <c r="G36" s="23">
        <v>9000</v>
      </c>
      <c r="H36" s="30"/>
    </row>
    <row r="37" spans="1:9" x14ac:dyDescent="0.3">
      <c r="A37" s="20"/>
      <c r="B37" s="15" t="s">
        <v>36</v>
      </c>
      <c r="C37" s="15">
        <v>1</v>
      </c>
      <c r="D37" s="22">
        <v>25</v>
      </c>
      <c r="E37" s="15">
        <v>1</v>
      </c>
      <c r="F37" s="15">
        <v>180</v>
      </c>
      <c r="G37" s="17">
        <f>SUM(C37*D37*E37*F37)</f>
        <v>4500</v>
      </c>
      <c r="H37" s="30"/>
    </row>
    <row r="38" spans="1:9" x14ac:dyDescent="0.3">
      <c r="A38" s="20"/>
      <c r="B38" s="26" t="s">
        <v>37</v>
      </c>
      <c r="C38" s="26"/>
      <c r="D38" s="26"/>
      <c r="E38" s="26"/>
      <c r="F38" s="26"/>
      <c r="G38" s="23">
        <v>0</v>
      </c>
      <c r="H38" s="30"/>
    </row>
    <row r="39" spans="1:9" x14ac:dyDescent="0.3">
      <c r="A39" s="20"/>
      <c r="B39" s="13" t="s">
        <v>38</v>
      </c>
      <c r="C39" s="13"/>
      <c r="D39" s="13"/>
      <c r="E39" s="13"/>
      <c r="F39" s="13"/>
      <c r="G39" s="17">
        <f>29979.12*103%</f>
        <v>30878.493599999998</v>
      </c>
      <c r="H39" s="30"/>
    </row>
    <row r="40" spans="1:9" x14ac:dyDescent="0.3">
      <c r="A40" s="20"/>
      <c r="B40" s="15" t="s">
        <v>39</v>
      </c>
      <c r="C40" s="21">
        <v>1</v>
      </c>
      <c r="D40" s="45">
        <f>16*103%</f>
        <v>16.48</v>
      </c>
      <c r="E40" s="21">
        <v>6</v>
      </c>
      <c r="F40" s="21">
        <v>252</v>
      </c>
      <c r="G40" s="23">
        <f>C40*D40*E40*F40</f>
        <v>24917.759999999998</v>
      </c>
      <c r="H40" s="24"/>
    </row>
    <row r="41" spans="1:9" s="82" customFormat="1" x14ac:dyDescent="0.3">
      <c r="A41" s="20"/>
      <c r="B41" s="15" t="s">
        <v>40</v>
      </c>
      <c r="C41" s="21">
        <v>1</v>
      </c>
      <c r="D41" s="45">
        <f>16*103%</f>
        <v>16.48</v>
      </c>
      <c r="E41" s="21">
        <v>4</v>
      </c>
      <c r="F41" s="21">
        <v>186</v>
      </c>
      <c r="G41" s="23">
        <f>C41*D41*E41*F41</f>
        <v>12261.12</v>
      </c>
      <c r="H41" s="24"/>
    </row>
    <row r="42" spans="1:9" x14ac:dyDescent="0.3">
      <c r="A42" s="20">
        <v>7900</v>
      </c>
      <c r="B42" s="26" t="s">
        <v>41</v>
      </c>
      <c r="C42" s="26"/>
      <c r="D42" s="26"/>
      <c r="E42" s="26"/>
      <c r="F42" s="26"/>
      <c r="G42" s="27">
        <f>SUM(F49*0.12)</f>
        <v>226981.33000512002</v>
      </c>
      <c r="H42" s="30"/>
    </row>
    <row r="43" spans="1:9" x14ac:dyDescent="0.3">
      <c r="A43" s="20"/>
      <c r="B43" s="26" t="s">
        <v>206</v>
      </c>
      <c r="C43" s="26"/>
      <c r="D43" s="26"/>
      <c r="E43" s="26"/>
      <c r="F43" s="26"/>
      <c r="G43" s="27">
        <v>47770.35</v>
      </c>
      <c r="H43" s="30"/>
    </row>
    <row r="44" spans="1:9" x14ac:dyDescent="0.3">
      <c r="A44" s="20"/>
      <c r="B44" s="15" t="s">
        <v>204</v>
      </c>
      <c r="C44" s="15"/>
      <c r="D44" s="15"/>
      <c r="E44" s="15"/>
      <c r="F44" s="15"/>
      <c r="G44" s="23">
        <f>SUM(E49*0.1403)</f>
        <v>262853.60499765282</v>
      </c>
      <c r="H44" s="24"/>
    </row>
    <row r="45" spans="1:9" x14ac:dyDescent="0.3">
      <c r="A45" s="20"/>
      <c r="B45" s="15" t="s">
        <v>42</v>
      </c>
      <c r="C45" s="15"/>
      <c r="D45" s="15"/>
      <c r="E45" s="15"/>
      <c r="F45" s="15"/>
      <c r="G45" s="23">
        <v>364988.18</v>
      </c>
      <c r="H45" s="30"/>
      <c r="I45" s="107"/>
    </row>
    <row r="46" spans="1:9" x14ac:dyDescent="0.3">
      <c r="A46" s="20"/>
      <c r="B46" s="15" t="s">
        <v>43</v>
      </c>
      <c r="C46" s="15"/>
      <c r="D46" s="15"/>
      <c r="E46" s="15"/>
      <c r="F46" s="15"/>
      <c r="G46" s="23">
        <f>11343*105%</f>
        <v>11910.15</v>
      </c>
      <c r="H46" s="30"/>
    </row>
    <row r="47" spans="1:9" x14ac:dyDescent="0.3">
      <c r="A47" s="20"/>
      <c r="B47" s="15" t="s">
        <v>44</v>
      </c>
      <c r="C47" s="15"/>
      <c r="D47" s="15">
        <v>4</v>
      </c>
      <c r="E47" s="23">
        <f>SUM(E181:E192)</f>
        <v>0</v>
      </c>
      <c r="F47" s="15"/>
      <c r="G47" s="23">
        <f>E47*D47</f>
        <v>0</v>
      </c>
      <c r="H47" s="24"/>
    </row>
    <row r="48" spans="1:9" s="82" customFormat="1" x14ac:dyDescent="0.3">
      <c r="A48" s="20"/>
      <c r="B48" s="15" t="s">
        <v>45</v>
      </c>
      <c r="C48" s="15" t="s">
        <v>46</v>
      </c>
      <c r="D48" s="15"/>
      <c r="E48" s="55">
        <v>9500</v>
      </c>
      <c r="F48" s="15"/>
      <c r="G48" s="23">
        <f>E48*D48</f>
        <v>0</v>
      </c>
      <c r="H48" s="24"/>
    </row>
    <row r="49" spans="1:8" x14ac:dyDescent="0.3">
      <c r="A49" s="20"/>
      <c r="B49" s="12"/>
      <c r="C49" s="13" t="s">
        <v>47</v>
      </c>
      <c r="D49" s="46" t="s">
        <v>48</v>
      </c>
      <c r="E49" s="47">
        <f>G40+G39+G37+G36+G35+G34+G31+G30+G29+G28+G25+G24+G23+G22+G21+G20+G18+G16+G17+G15+G32+G33+G41+G26</f>
        <v>1873511.0833760002</v>
      </c>
      <c r="F49" s="17">
        <f>SUM(G15:G41)</f>
        <v>1891511.0833760002</v>
      </c>
      <c r="G49" s="27"/>
      <c r="H49" s="30">
        <f>SUM(F49:F50)</f>
        <v>2806014.6983787729</v>
      </c>
    </row>
    <row r="50" spans="1:8" x14ac:dyDescent="0.3">
      <c r="A50" s="25"/>
      <c r="B50" s="26"/>
      <c r="C50" s="29" t="s">
        <v>49</v>
      </c>
      <c r="D50" s="29"/>
      <c r="E50" s="29"/>
      <c r="F50" s="28">
        <f>SUM(G42:G48)</f>
        <v>914503.61500277289</v>
      </c>
      <c r="G50" s="28"/>
      <c r="H50" s="30"/>
    </row>
    <row r="51" spans="1:8" x14ac:dyDescent="0.3">
      <c r="A51" s="25"/>
      <c r="B51" s="26" t="s">
        <v>5</v>
      </c>
      <c r="C51" s="29"/>
      <c r="D51" s="29"/>
      <c r="E51" s="29"/>
      <c r="F51" s="28"/>
      <c r="G51" s="28"/>
      <c r="H51" s="30"/>
    </row>
    <row r="52" spans="1:8" x14ac:dyDescent="0.3">
      <c r="A52" s="25"/>
      <c r="B52" s="26" t="s">
        <v>50</v>
      </c>
      <c r="C52" s="29"/>
      <c r="D52" s="29"/>
      <c r="E52" s="29"/>
      <c r="F52" s="29"/>
      <c r="G52" s="28">
        <v>71000</v>
      </c>
      <c r="H52" s="69"/>
    </row>
    <row r="53" spans="1:8" x14ac:dyDescent="0.3">
      <c r="A53" s="25"/>
      <c r="B53" s="48" t="s">
        <v>51</v>
      </c>
      <c r="C53" s="49"/>
      <c r="D53" s="49"/>
      <c r="E53" s="49"/>
      <c r="F53" s="49"/>
      <c r="G53" s="50">
        <v>0</v>
      </c>
      <c r="H53" s="30"/>
    </row>
    <row r="54" spans="1:8" x14ac:dyDescent="0.3">
      <c r="A54" s="25"/>
      <c r="B54" s="49"/>
      <c r="C54" s="49" t="s">
        <v>52</v>
      </c>
      <c r="D54" s="49"/>
      <c r="E54" s="49"/>
      <c r="F54" s="49"/>
      <c r="G54" s="50"/>
      <c r="H54" s="30">
        <f>SUM(G51:G53)</f>
        <v>71000</v>
      </c>
    </row>
    <row r="55" spans="1:8" x14ac:dyDescent="0.3">
      <c r="A55" s="32" t="s">
        <v>53</v>
      </c>
      <c r="B55" s="26"/>
      <c r="C55" s="26"/>
      <c r="D55" s="26"/>
      <c r="E55" s="26"/>
      <c r="F55" s="26"/>
      <c r="G55" s="27"/>
      <c r="H55" s="30"/>
    </row>
    <row r="56" spans="1:8" x14ac:dyDescent="0.3">
      <c r="A56" s="20">
        <v>7900</v>
      </c>
      <c r="B56" s="15" t="s">
        <v>54</v>
      </c>
      <c r="C56" s="23"/>
      <c r="D56" s="15" t="s">
        <v>55</v>
      </c>
      <c r="E56" s="15"/>
      <c r="F56" s="15"/>
      <c r="G56" s="23">
        <v>94583.23</v>
      </c>
      <c r="H56" s="24"/>
    </row>
    <row r="57" spans="1:8" x14ac:dyDescent="0.3">
      <c r="A57" s="20"/>
      <c r="B57" s="15" t="s">
        <v>56</v>
      </c>
      <c r="C57" s="23"/>
      <c r="D57" s="15" t="s">
        <v>55</v>
      </c>
      <c r="E57" s="15"/>
      <c r="F57" s="15"/>
      <c r="G57" s="23">
        <v>7000</v>
      </c>
      <c r="H57" s="24"/>
    </row>
    <row r="58" spans="1:8" x14ac:dyDescent="0.3">
      <c r="A58" s="20"/>
      <c r="B58" s="15" t="s">
        <v>57</v>
      </c>
      <c r="C58" s="23">
        <v>987.94</v>
      </c>
      <c r="D58" s="15" t="s">
        <v>55</v>
      </c>
      <c r="E58" s="15"/>
      <c r="F58" s="23"/>
      <c r="G58" s="23">
        <v>11855.23</v>
      </c>
      <c r="H58" s="24" t="s">
        <v>5</v>
      </c>
    </row>
    <row r="59" spans="1:8" x14ac:dyDescent="0.3">
      <c r="A59" s="20">
        <v>7900</v>
      </c>
      <c r="B59" s="15" t="s">
        <v>58</v>
      </c>
      <c r="C59" s="23">
        <f>(3900*101.5)/100</f>
        <v>3958.5</v>
      </c>
      <c r="D59" s="15" t="s">
        <v>55</v>
      </c>
      <c r="E59" s="15"/>
      <c r="F59" s="15"/>
      <c r="G59" s="23">
        <v>48000</v>
      </c>
      <c r="H59" s="24"/>
    </row>
    <row r="60" spans="1:8" x14ac:dyDescent="0.3">
      <c r="A60" s="20">
        <v>8100</v>
      </c>
      <c r="B60" s="15" t="s">
        <v>59</v>
      </c>
      <c r="C60" s="23">
        <v>1750</v>
      </c>
      <c r="D60" s="15" t="s">
        <v>55</v>
      </c>
      <c r="E60" s="15"/>
      <c r="F60" s="23"/>
      <c r="G60" s="23">
        <v>25000</v>
      </c>
      <c r="H60" s="24"/>
    </row>
    <row r="61" spans="1:8" x14ac:dyDescent="0.3">
      <c r="A61" s="20">
        <v>3720</v>
      </c>
      <c r="B61" s="15" t="s">
        <v>60</v>
      </c>
      <c r="C61" s="23">
        <v>11993.38</v>
      </c>
      <c r="D61" s="15" t="s">
        <v>61</v>
      </c>
      <c r="E61" s="15"/>
      <c r="F61" s="15"/>
      <c r="G61" s="23">
        <f>SUM(C61)*12</f>
        <v>143920.56</v>
      </c>
      <c r="H61" s="24"/>
    </row>
    <row r="62" spans="1:8" x14ac:dyDescent="0.3">
      <c r="A62" s="20"/>
      <c r="B62" s="15" t="s">
        <v>62</v>
      </c>
      <c r="C62" s="23">
        <v>9000</v>
      </c>
      <c r="D62" s="15" t="s">
        <v>61</v>
      </c>
      <c r="E62" s="15"/>
      <c r="F62" s="15"/>
      <c r="G62" s="23">
        <f>SUM(C62)*12</f>
        <v>108000</v>
      </c>
      <c r="H62" s="24"/>
    </row>
    <row r="63" spans="1:8" x14ac:dyDescent="0.3">
      <c r="A63" s="20"/>
      <c r="B63" s="51" t="s">
        <v>63</v>
      </c>
      <c r="C63" s="42"/>
      <c r="D63" s="51"/>
      <c r="E63" s="51"/>
      <c r="F63" s="51"/>
      <c r="G63" s="42">
        <v>25000</v>
      </c>
      <c r="H63" s="70"/>
    </row>
    <row r="64" spans="1:8" x14ac:dyDescent="0.3">
      <c r="A64" s="20">
        <v>1</v>
      </c>
      <c r="B64" s="15" t="s">
        <v>64</v>
      </c>
      <c r="C64" s="23">
        <v>1100</v>
      </c>
      <c r="D64" s="15" t="s">
        <v>65</v>
      </c>
      <c r="E64" s="53"/>
      <c r="F64" s="23"/>
      <c r="G64" s="23">
        <f>SUM(C64*12)*110%</f>
        <v>14520.000000000002</v>
      </c>
      <c r="H64" s="24"/>
    </row>
    <row r="65" spans="1:10" x14ac:dyDescent="0.3">
      <c r="A65" s="20"/>
      <c r="B65" s="15" t="s">
        <v>66</v>
      </c>
      <c r="C65" s="23"/>
      <c r="D65" s="15"/>
      <c r="E65" s="15"/>
      <c r="F65" s="15"/>
      <c r="G65" s="23">
        <v>4120</v>
      </c>
      <c r="H65" s="24"/>
    </row>
    <row r="66" spans="1:10" x14ac:dyDescent="0.3">
      <c r="A66" s="20">
        <v>8100</v>
      </c>
      <c r="B66" s="15" t="s">
        <v>67</v>
      </c>
      <c r="C66" s="23"/>
      <c r="D66" s="15"/>
      <c r="E66" s="15"/>
      <c r="F66" s="15"/>
      <c r="G66" s="23">
        <v>6200</v>
      </c>
      <c r="H66" s="24"/>
    </row>
    <row r="67" spans="1:10" x14ac:dyDescent="0.3">
      <c r="A67" s="20">
        <v>8100</v>
      </c>
      <c r="B67" s="15" t="s">
        <v>68</v>
      </c>
      <c r="C67" s="31"/>
      <c r="D67" s="21"/>
      <c r="E67" s="21"/>
      <c r="F67" s="21"/>
      <c r="G67" s="23">
        <f>25000*114%</f>
        <v>28499.999999999996</v>
      </c>
      <c r="H67" s="24"/>
    </row>
    <row r="68" spans="1:10" x14ac:dyDescent="0.3">
      <c r="A68" s="20"/>
      <c r="B68" s="15" t="s">
        <v>69</v>
      </c>
      <c r="C68" s="31"/>
      <c r="D68" s="21"/>
      <c r="E68" s="21"/>
      <c r="F68" s="21"/>
      <c r="G68" s="23">
        <v>15000</v>
      </c>
      <c r="H68" s="24"/>
    </row>
    <row r="69" spans="1:10" s="82" customFormat="1" x14ac:dyDescent="0.3">
      <c r="A69" s="20">
        <v>7400</v>
      </c>
      <c r="B69" s="15" t="s">
        <v>70</v>
      </c>
      <c r="C69" s="23"/>
      <c r="D69" s="15"/>
      <c r="E69" s="15"/>
      <c r="F69" s="15"/>
      <c r="G69" s="23">
        <v>10000</v>
      </c>
      <c r="H69" s="24"/>
    </row>
    <row r="70" spans="1:10" x14ac:dyDescent="0.3">
      <c r="A70" s="20"/>
      <c r="B70" s="15" t="s">
        <v>71</v>
      </c>
      <c r="C70" s="23"/>
      <c r="D70" s="15"/>
      <c r="E70" s="15"/>
      <c r="F70" s="15"/>
      <c r="G70" s="23">
        <v>6000</v>
      </c>
      <c r="H70" s="24"/>
    </row>
    <row r="71" spans="1:10" x14ac:dyDescent="0.3">
      <c r="A71" s="20">
        <v>7400</v>
      </c>
      <c r="B71" s="15" t="s">
        <v>72</v>
      </c>
      <c r="C71" s="23"/>
      <c r="D71" s="15"/>
      <c r="E71" s="15"/>
      <c r="F71" s="15"/>
      <c r="G71" s="23">
        <v>7500</v>
      </c>
      <c r="H71" s="71"/>
    </row>
    <row r="72" spans="1:10" x14ac:dyDescent="0.3">
      <c r="A72" s="20"/>
      <c r="B72" s="15" t="s">
        <v>73</v>
      </c>
      <c r="C72" s="23">
        <v>1300</v>
      </c>
      <c r="D72" s="15" t="s">
        <v>74</v>
      </c>
      <c r="E72" s="15"/>
      <c r="F72" s="15"/>
      <c r="G72" s="23">
        <v>2600</v>
      </c>
      <c r="H72" s="71"/>
    </row>
    <row r="73" spans="1:10" x14ac:dyDescent="0.3">
      <c r="A73" s="20"/>
      <c r="B73" s="15" t="s">
        <v>157</v>
      </c>
      <c r="C73" s="23"/>
      <c r="D73" s="15"/>
      <c r="E73" s="15"/>
      <c r="F73" s="15"/>
      <c r="G73" s="23">
        <v>523633.93</v>
      </c>
      <c r="H73" s="71"/>
    </row>
    <row r="74" spans="1:10" x14ac:dyDescent="0.3">
      <c r="A74" s="20"/>
      <c r="B74" s="15"/>
      <c r="C74" s="21" t="s">
        <v>75</v>
      </c>
      <c r="D74" s="21"/>
      <c r="E74" s="21"/>
      <c r="F74" s="21"/>
      <c r="G74" s="23"/>
      <c r="H74" s="24">
        <f>SUM(G56:G73)</f>
        <v>1081432.95</v>
      </c>
    </row>
    <row r="75" spans="1:10" x14ac:dyDescent="0.3">
      <c r="A75" s="20"/>
      <c r="B75" s="15"/>
      <c r="C75" s="15"/>
      <c r="D75" s="15"/>
      <c r="E75" s="15"/>
      <c r="F75" s="53"/>
      <c r="G75" s="23"/>
      <c r="H75" s="24"/>
    </row>
    <row r="76" spans="1:10" x14ac:dyDescent="0.3">
      <c r="A76" s="33" t="s">
        <v>76</v>
      </c>
      <c r="B76" s="15"/>
      <c r="C76" s="15"/>
      <c r="D76" s="15"/>
      <c r="E76" s="15"/>
      <c r="F76" s="15"/>
      <c r="G76" s="15"/>
      <c r="H76" s="24"/>
    </row>
    <row r="77" spans="1:10" x14ac:dyDescent="0.3">
      <c r="A77" s="20">
        <v>9200</v>
      </c>
      <c r="B77" s="15" t="s">
        <v>77</v>
      </c>
      <c r="C77" s="15"/>
      <c r="D77" s="15"/>
      <c r="E77" s="15"/>
      <c r="F77" s="42"/>
      <c r="G77" s="42">
        <f>77238.5*115%</f>
        <v>88824.274999999994</v>
      </c>
      <c r="H77" s="24"/>
      <c r="J77" s="107"/>
    </row>
    <row r="78" spans="1:10" x14ac:dyDescent="0.3">
      <c r="A78" s="20"/>
      <c r="B78" s="15"/>
      <c r="C78" s="15"/>
      <c r="D78" s="15"/>
      <c r="E78" s="15"/>
      <c r="F78" s="42"/>
      <c r="G78" s="23"/>
      <c r="H78" s="24"/>
      <c r="J78" s="107"/>
    </row>
    <row r="79" spans="1:10" x14ac:dyDescent="0.3">
      <c r="A79" s="20"/>
      <c r="B79" s="15" t="s">
        <v>78</v>
      </c>
      <c r="C79" s="15"/>
      <c r="D79" s="15"/>
      <c r="E79" s="15"/>
      <c r="F79" s="42"/>
      <c r="G79" s="23">
        <f>5536.98*112%</f>
        <v>6201.4175999999998</v>
      </c>
      <c r="H79" s="72"/>
      <c r="J79" s="107"/>
    </row>
    <row r="80" spans="1:10" x14ac:dyDescent="0.3">
      <c r="A80" s="20"/>
      <c r="B80" s="15" t="s">
        <v>79</v>
      </c>
      <c r="C80" s="15"/>
      <c r="D80" s="15"/>
      <c r="E80" s="15"/>
      <c r="F80" s="42"/>
      <c r="G80" s="23">
        <f>38603.66*125%</f>
        <v>48254.575000000004</v>
      </c>
      <c r="H80" s="72"/>
      <c r="J80" s="107"/>
    </row>
    <row r="81" spans="1:10" x14ac:dyDescent="0.3">
      <c r="A81" s="20"/>
      <c r="B81" s="15" t="s">
        <v>80</v>
      </c>
      <c r="C81" s="15"/>
      <c r="D81" s="15"/>
      <c r="E81" s="15"/>
      <c r="F81" s="15"/>
      <c r="G81" s="23">
        <f>1881*112%</f>
        <v>2106.7200000000003</v>
      </c>
      <c r="H81" s="72"/>
    </row>
    <row r="82" spans="1:10" x14ac:dyDescent="0.3">
      <c r="A82" s="20"/>
      <c r="B82" s="15" t="s">
        <v>81</v>
      </c>
      <c r="C82" s="15"/>
      <c r="D82" s="15"/>
      <c r="E82" s="15"/>
      <c r="F82" s="15"/>
      <c r="G82" s="23">
        <v>399.31</v>
      </c>
      <c r="H82" s="72"/>
      <c r="J82" s="107"/>
    </row>
    <row r="83" spans="1:10" x14ac:dyDescent="0.3">
      <c r="A83" s="20"/>
      <c r="B83" s="15"/>
      <c r="C83" s="21" t="s">
        <v>82</v>
      </c>
      <c r="D83" s="21"/>
      <c r="E83" s="21"/>
      <c r="F83" s="21"/>
      <c r="G83" s="23"/>
      <c r="H83" s="24">
        <f>SUM(G77:G82)</f>
        <v>145786.29759999999</v>
      </c>
    </row>
    <row r="84" spans="1:10" x14ac:dyDescent="0.3">
      <c r="A84" s="20"/>
      <c r="B84" s="15"/>
      <c r="C84" s="15"/>
      <c r="D84" s="15"/>
      <c r="E84" s="15"/>
      <c r="F84" s="15"/>
      <c r="G84" s="23"/>
      <c r="H84" s="24"/>
    </row>
    <row r="85" spans="1:10" x14ac:dyDescent="0.3">
      <c r="A85" s="33" t="s">
        <v>83</v>
      </c>
      <c r="B85" s="15"/>
      <c r="C85" s="15"/>
      <c r="D85" s="15"/>
      <c r="E85" s="15"/>
      <c r="F85" s="15"/>
      <c r="G85" s="54"/>
      <c r="H85" s="24"/>
    </row>
    <row r="86" spans="1:10" x14ac:dyDescent="0.3">
      <c r="A86" s="20">
        <v>7800</v>
      </c>
      <c r="B86" s="15"/>
      <c r="C86" s="15"/>
      <c r="D86" s="55"/>
      <c r="E86" s="15"/>
      <c r="F86" s="15"/>
      <c r="G86" s="23"/>
      <c r="H86" s="24"/>
    </row>
    <row r="87" spans="1:10" x14ac:dyDescent="0.3">
      <c r="A87" s="20"/>
      <c r="B87" s="15" t="s">
        <v>84</v>
      </c>
      <c r="C87" s="15">
        <v>5</v>
      </c>
      <c r="D87" s="55"/>
      <c r="E87" s="55">
        <v>250</v>
      </c>
      <c r="F87" s="15"/>
      <c r="G87" s="23">
        <v>20000</v>
      </c>
      <c r="H87" s="24"/>
    </row>
    <row r="88" spans="1:10" x14ac:dyDescent="0.3">
      <c r="A88" s="73"/>
      <c r="B88" s="15" t="s">
        <v>85</v>
      </c>
      <c r="C88" s="15">
        <v>5</v>
      </c>
      <c r="D88" s="57"/>
      <c r="E88" s="55">
        <v>5500</v>
      </c>
      <c r="F88" s="21"/>
      <c r="G88" s="23">
        <v>51277.62</v>
      </c>
      <c r="H88" s="71"/>
    </row>
    <row r="89" spans="1:10" x14ac:dyDescent="0.3">
      <c r="A89" s="73"/>
      <c r="B89" s="15" t="s">
        <v>86</v>
      </c>
      <c r="C89" s="15"/>
      <c r="D89" s="15">
        <v>0</v>
      </c>
      <c r="E89" s="23">
        <v>5000</v>
      </c>
      <c r="F89" s="15"/>
      <c r="G89" s="23">
        <f>SUM(E89*D89)</f>
        <v>0</v>
      </c>
      <c r="H89" s="24"/>
    </row>
    <row r="90" spans="1:10" x14ac:dyDescent="0.3">
      <c r="A90" s="20"/>
      <c r="B90" s="15" t="s">
        <v>87</v>
      </c>
      <c r="C90" s="15"/>
      <c r="D90" s="15">
        <v>2</v>
      </c>
      <c r="E90" s="15"/>
      <c r="F90" s="15"/>
      <c r="G90" s="23">
        <f>SUM(D90)*2600</f>
        <v>5200</v>
      </c>
      <c r="H90" s="71"/>
    </row>
    <row r="91" spans="1:10" x14ac:dyDescent="0.3">
      <c r="A91" s="20"/>
      <c r="B91" s="15"/>
      <c r="C91" s="21" t="s">
        <v>88</v>
      </c>
      <c r="D91" s="21"/>
      <c r="E91" s="21"/>
      <c r="F91" s="21"/>
      <c r="G91" s="23"/>
      <c r="H91" s="24">
        <f>SUM(G86:G90)</f>
        <v>76477.62</v>
      </c>
    </row>
    <row r="92" spans="1:10" x14ac:dyDescent="0.3">
      <c r="A92" s="20"/>
      <c r="B92" s="15"/>
      <c r="C92" s="15"/>
      <c r="D92" s="15"/>
      <c r="E92" s="15"/>
      <c r="F92" s="15"/>
      <c r="G92" s="23"/>
      <c r="H92" s="24"/>
    </row>
    <row r="93" spans="1:10" x14ac:dyDescent="0.3">
      <c r="A93" s="33" t="s">
        <v>89</v>
      </c>
      <c r="B93" s="15"/>
      <c r="C93" s="15"/>
      <c r="D93" s="15"/>
      <c r="E93" s="15"/>
      <c r="F93" s="15"/>
      <c r="G93" s="23"/>
      <c r="H93" s="24"/>
    </row>
    <row r="94" spans="1:10" x14ac:dyDescent="0.3">
      <c r="A94" s="20"/>
      <c r="B94" s="15"/>
      <c r="C94" s="15"/>
      <c r="D94" s="15"/>
      <c r="E94" s="15"/>
      <c r="F94" s="15"/>
      <c r="G94" s="54"/>
      <c r="H94" s="24"/>
    </row>
    <row r="95" spans="1:10" x14ac:dyDescent="0.3">
      <c r="A95" s="20">
        <v>6200</v>
      </c>
      <c r="B95" s="15" t="s">
        <v>90</v>
      </c>
      <c r="C95" s="58"/>
      <c r="D95" s="58"/>
      <c r="E95" s="58"/>
      <c r="F95" s="58"/>
      <c r="G95" s="23">
        <v>15000</v>
      </c>
      <c r="H95" s="24"/>
    </row>
    <row r="96" spans="1:10" x14ac:dyDescent="0.3">
      <c r="A96" s="20">
        <v>5000</v>
      </c>
      <c r="B96" s="15" t="s">
        <v>91</v>
      </c>
      <c r="C96" s="21"/>
      <c r="D96" s="21"/>
      <c r="E96" s="21"/>
      <c r="F96" s="21"/>
      <c r="G96" s="23">
        <v>41000</v>
      </c>
      <c r="H96" s="24"/>
    </row>
    <row r="97" spans="1:8" s="82" customFormat="1" ht="33.6" customHeight="1" x14ac:dyDescent="0.3">
      <c r="A97" s="20"/>
      <c r="B97" s="15" t="s">
        <v>92</v>
      </c>
      <c r="C97" s="15"/>
      <c r="D97" s="15">
        <v>24</v>
      </c>
      <c r="E97" s="15" t="s">
        <v>93</v>
      </c>
      <c r="F97" s="23">
        <v>72</v>
      </c>
      <c r="G97" s="23">
        <v>125000</v>
      </c>
      <c r="H97" s="24"/>
    </row>
    <row r="98" spans="1:8" x14ac:dyDescent="0.3">
      <c r="A98" s="20"/>
      <c r="B98" s="15" t="s">
        <v>94</v>
      </c>
      <c r="C98" s="15"/>
      <c r="D98" s="15"/>
      <c r="E98" s="15"/>
      <c r="F98" s="15"/>
      <c r="G98" s="23">
        <v>2900</v>
      </c>
      <c r="H98" s="24"/>
    </row>
    <row r="99" spans="1:8" x14ac:dyDescent="0.3">
      <c r="A99" s="20">
        <v>7300</v>
      </c>
      <c r="B99" s="15" t="s">
        <v>95</v>
      </c>
      <c r="C99" s="15"/>
      <c r="D99" s="15"/>
      <c r="E99" s="15"/>
      <c r="F99" s="15"/>
      <c r="G99" s="23">
        <v>2500</v>
      </c>
      <c r="H99" s="24"/>
    </row>
    <row r="100" spans="1:8" x14ac:dyDescent="0.3">
      <c r="A100" s="20">
        <v>5000</v>
      </c>
      <c r="B100" s="15" t="s">
        <v>96</v>
      </c>
      <c r="C100" s="15"/>
      <c r="D100" s="15"/>
      <c r="E100" s="15"/>
      <c r="F100" s="15"/>
      <c r="G100" s="23">
        <v>2500</v>
      </c>
      <c r="H100" s="24"/>
    </row>
    <row r="101" spans="1:8" x14ac:dyDescent="0.3">
      <c r="A101" s="20"/>
      <c r="B101" s="15" t="s">
        <v>97</v>
      </c>
      <c r="C101" s="15"/>
      <c r="D101" s="15"/>
      <c r="E101" s="15"/>
      <c r="F101" s="15"/>
      <c r="G101" s="23">
        <v>6000</v>
      </c>
      <c r="H101" s="24"/>
    </row>
    <row r="102" spans="1:8" x14ac:dyDescent="0.3">
      <c r="A102" s="20"/>
      <c r="B102" s="15" t="s">
        <v>98</v>
      </c>
      <c r="C102" s="15"/>
      <c r="D102" s="15"/>
      <c r="E102" s="15"/>
      <c r="F102" s="15"/>
      <c r="G102" s="42">
        <v>4332.2</v>
      </c>
      <c r="H102" s="71"/>
    </row>
    <row r="103" spans="1:8" x14ac:dyDescent="0.3">
      <c r="A103" s="20"/>
      <c r="B103" s="15"/>
      <c r="C103" s="15"/>
      <c r="D103" s="15"/>
      <c r="E103" s="15"/>
      <c r="F103" s="15"/>
      <c r="G103" s="31"/>
      <c r="H103" s="71"/>
    </row>
    <row r="104" spans="1:8" x14ac:dyDescent="0.3">
      <c r="A104" s="20"/>
      <c r="B104" s="15"/>
      <c r="C104" s="21" t="s">
        <v>99</v>
      </c>
      <c r="D104" s="21"/>
      <c r="E104" s="21"/>
      <c r="F104" s="21"/>
      <c r="G104" s="23"/>
      <c r="H104" s="24">
        <f>SUM(G95:G102)</f>
        <v>199232.2</v>
      </c>
    </row>
    <row r="105" spans="1:8" x14ac:dyDescent="0.3">
      <c r="A105" s="20"/>
      <c r="B105" s="15"/>
      <c r="C105" s="15"/>
      <c r="D105" s="15"/>
      <c r="E105" s="15"/>
      <c r="F105" s="15"/>
      <c r="G105" s="23"/>
      <c r="H105" s="24"/>
    </row>
    <row r="106" spans="1:8" x14ac:dyDescent="0.3">
      <c r="A106" s="20">
        <v>7300</v>
      </c>
      <c r="B106" s="15" t="s">
        <v>100</v>
      </c>
      <c r="C106" s="15"/>
      <c r="D106" s="15"/>
      <c r="E106" s="15"/>
      <c r="F106" s="15"/>
      <c r="G106" s="23">
        <v>2500</v>
      </c>
      <c r="H106" s="71"/>
    </row>
    <row r="107" spans="1:8" x14ac:dyDescent="0.3">
      <c r="A107" s="20"/>
      <c r="B107" s="15"/>
      <c r="C107" s="21" t="s">
        <v>101</v>
      </c>
      <c r="D107" s="21"/>
      <c r="E107" s="21"/>
      <c r="F107" s="15"/>
      <c r="G107" s="23" t="s">
        <v>5</v>
      </c>
      <c r="H107" s="24">
        <f>G106</f>
        <v>2500</v>
      </c>
    </row>
    <row r="108" spans="1:8" x14ac:dyDescent="0.3">
      <c r="A108" s="20"/>
      <c r="B108" s="15"/>
      <c r="C108" s="21"/>
      <c r="D108" s="21"/>
      <c r="E108" s="21"/>
      <c r="F108" s="15"/>
      <c r="G108" s="31"/>
      <c r="H108" s="71"/>
    </row>
    <row r="109" spans="1:8" x14ac:dyDescent="0.3">
      <c r="A109" s="20"/>
      <c r="B109" s="15" t="s">
        <v>102</v>
      </c>
      <c r="C109" s="21"/>
      <c r="D109" s="21"/>
      <c r="E109" s="21"/>
      <c r="F109" s="15"/>
      <c r="G109" s="55">
        <v>3500</v>
      </c>
      <c r="H109" s="24"/>
    </row>
    <row r="110" spans="1:8" x14ac:dyDescent="0.3">
      <c r="A110" s="20"/>
      <c r="B110" s="15" t="s">
        <v>103</v>
      </c>
      <c r="C110" s="21"/>
      <c r="D110" s="21"/>
      <c r="E110" s="21"/>
      <c r="F110" s="15"/>
      <c r="G110" s="55">
        <v>1000</v>
      </c>
      <c r="H110" s="24"/>
    </row>
    <row r="111" spans="1:8" x14ac:dyDescent="0.3">
      <c r="A111" s="20"/>
      <c r="B111" s="15"/>
      <c r="C111" s="21" t="s">
        <v>104</v>
      </c>
      <c r="D111" s="21"/>
      <c r="E111" s="21"/>
      <c r="F111" s="15"/>
      <c r="G111" s="55"/>
      <c r="H111" s="24">
        <f>SUM(G109:G110)</f>
        <v>4500</v>
      </c>
    </row>
    <row r="112" spans="1:8" x14ac:dyDescent="0.3">
      <c r="A112" s="20"/>
      <c r="B112" s="15" t="s">
        <v>105</v>
      </c>
      <c r="C112" s="15"/>
      <c r="D112" s="15"/>
      <c r="E112" s="15"/>
      <c r="F112" s="15"/>
      <c r="G112" s="23">
        <v>2000</v>
      </c>
      <c r="H112" s="71" t="s">
        <v>5</v>
      </c>
    </row>
    <row r="113" spans="1:8" x14ac:dyDescent="0.3">
      <c r="A113" s="20"/>
      <c r="B113" s="15" t="s">
        <v>106</v>
      </c>
      <c r="C113" s="15"/>
      <c r="D113" s="15"/>
      <c r="E113" s="15"/>
      <c r="F113" s="15"/>
      <c r="G113" s="23">
        <f>17100*112%</f>
        <v>19152.000000000004</v>
      </c>
      <c r="H113" s="71"/>
    </row>
    <row r="114" spans="1:8" x14ac:dyDescent="0.3">
      <c r="A114" s="20"/>
      <c r="B114" s="56"/>
      <c r="C114" s="21" t="s">
        <v>107</v>
      </c>
      <c r="D114" s="21"/>
      <c r="E114" s="21"/>
      <c r="F114" s="21"/>
      <c r="G114" s="23"/>
      <c r="H114" s="24">
        <f>SUM(G112:G113)</f>
        <v>21152.000000000004</v>
      </c>
    </row>
    <row r="115" spans="1:8" x14ac:dyDescent="0.3">
      <c r="A115" s="20"/>
      <c r="B115" s="15"/>
      <c r="C115" s="15"/>
      <c r="D115" s="15"/>
      <c r="E115" s="15"/>
      <c r="F115" s="15"/>
      <c r="G115" s="15"/>
      <c r="H115" s="24"/>
    </row>
    <row r="116" spans="1:8" x14ac:dyDescent="0.3">
      <c r="A116" s="20">
        <v>6400</v>
      </c>
      <c r="B116" s="51" t="s">
        <v>108</v>
      </c>
      <c r="C116" s="53"/>
      <c r="D116" s="53"/>
      <c r="E116" s="53"/>
      <c r="F116" s="53"/>
      <c r="G116" s="42">
        <v>3000</v>
      </c>
      <c r="H116" s="74"/>
    </row>
    <row r="117" spans="1:8" s="82" customFormat="1" x14ac:dyDescent="0.3">
      <c r="A117" s="20"/>
      <c r="B117" s="51" t="s">
        <v>109</v>
      </c>
      <c r="C117" s="59"/>
      <c r="D117" s="59"/>
      <c r="E117" s="59"/>
      <c r="F117" s="59"/>
      <c r="G117" s="23">
        <v>11000</v>
      </c>
      <c r="H117" s="71"/>
    </row>
    <row r="118" spans="1:8" x14ac:dyDescent="0.3">
      <c r="A118" s="20"/>
      <c r="B118" s="60" t="s">
        <v>110</v>
      </c>
      <c r="C118" s="59"/>
      <c r="D118" s="59"/>
      <c r="E118" s="59"/>
      <c r="F118" s="59"/>
      <c r="G118" s="23">
        <v>10000</v>
      </c>
      <c r="H118" s="71"/>
    </row>
    <row r="119" spans="1:8" x14ac:dyDescent="0.3">
      <c r="A119" s="20"/>
      <c r="B119" s="15"/>
      <c r="C119" s="21" t="s">
        <v>111</v>
      </c>
      <c r="D119" s="21"/>
      <c r="E119" s="21"/>
      <c r="F119" s="21"/>
      <c r="G119" s="23"/>
      <c r="H119" s="24">
        <f>SUM(G116:G118)</f>
        <v>24000</v>
      </c>
    </row>
    <row r="120" spans="1:8" x14ac:dyDescent="0.3">
      <c r="A120" s="20"/>
      <c r="B120" s="15"/>
      <c r="C120" s="15"/>
      <c r="D120" s="15"/>
      <c r="E120" s="15"/>
      <c r="F120" s="15"/>
      <c r="G120" s="23"/>
      <c r="H120" s="24"/>
    </row>
    <row r="121" spans="1:8" x14ac:dyDescent="0.3">
      <c r="A121" s="33" t="s">
        <v>112</v>
      </c>
      <c r="B121" s="15"/>
      <c r="C121" s="15"/>
      <c r="D121" s="15"/>
      <c r="E121" s="15"/>
      <c r="F121" s="15"/>
      <c r="G121" s="15"/>
      <c r="H121" s="24"/>
    </row>
    <row r="122" spans="1:8" x14ac:dyDescent="0.3">
      <c r="A122" s="20">
        <v>7200</v>
      </c>
      <c r="B122" s="15" t="s">
        <v>113</v>
      </c>
      <c r="C122" s="15"/>
      <c r="D122" s="15"/>
      <c r="E122" s="15"/>
      <c r="F122" s="15"/>
      <c r="G122" s="23">
        <v>4140</v>
      </c>
      <c r="H122" s="24"/>
    </row>
    <row r="123" spans="1:8" x14ac:dyDescent="0.3">
      <c r="A123" s="20">
        <v>7200</v>
      </c>
      <c r="B123" s="15" t="s">
        <v>114</v>
      </c>
      <c r="C123" s="15"/>
      <c r="D123" s="15"/>
      <c r="E123" s="15"/>
      <c r="F123" s="15"/>
      <c r="G123" s="23">
        <v>17391</v>
      </c>
      <c r="H123" s="24"/>
    </row>
    <row r="124" spans="1:8" x14ac:dyDescent="0.3">
      <c r="A124" s="20"/>
      <c r="B124" s="15" t="s">
        <v>115</v>
      </c>
      <c r="C124" s="15"/>
      <c r="D124" s="15"/>
      <c r="E124" s="15"/>
      <c r="F124" s="15"/>
      <c r="G124" s="23">
        <v>500</v>
      </c>
      <c r="H124" s="24"/>
    </row>
    <row r="125" spans="1:8" x14ac:dyDescent="0.3">
      <c r="A125" s="20">
        <v>6100</v>
      </c>
      <c r="B125" s="51" t="s">
        <v>116</v>
      </c>
      <c r="C125" s="51"/>
      <c r="D125" s="51"/>
      <c r="E125" s="51"/>
      <c r="F125" s="51"/>
      <c r="G125" s="42">
        <v>20013.64</v>
      </c>
      <c r="H125" s="24"/>
    </row>
    <row r="126" spans="1:8" x14ac:dyDescent="0.3">
      <c r="A126" s="20">
        <v>7200</v>
      </c>
      <c r="B126" s="15" t="s">
        <v>117</v>
      </c>
      <c r="C126" s="15"/>
      <c r="D126" s="15"/>
      <c r="E126" s="15"/>
      <c r="F126" s="15"/>
      <c r="G126" s="23">
        <v>19830.8</v>
      </c>
      <c r="H126" s="24"/>
    </row>
    <row r="127" spans="1:8" x14ac:dyDescent="0.3">
      <c r="A127" s="20"/>
      <c r="B127" s="15" t="s">
        <v>118</v>
      </c>
      <c r="C127" s="15"/>
      <c r="D127" s="15"/>
      <c r="E127" s="15"/>
      <c r="F127" s="15"/>
      <c r="G127" s="23">
        <v>500</v>
      </c>
      <c r="H127" s="71"/>
    </row>
    <row r="128" spans="1:8" x14ac:dyDescent="0.3">
      <c r="A128" s="20"/>
      <c r="B128" s="51" t="s">
        <v>119</v>
      </c>
      <c r="C128" s="61"/>
      <c r="D128" s="61"/>
      <c r="E128" s="61"/>
      <c r="F128" s="61"/>
      <c r="G128" s="42">
        <v>7500</v>
      </c>
      <c r="H128" s="71"/>
    </row>
    <row r="129" spans="1:8" x14ac:dyDescent="0.3">
      <c r="A129" s="20"/>
      <c r="B129" s="51" t="s">
        <v>120</v>
      </c>
      <c r="C129" s="61"/>
      <c r="D129" s="61"/>
      <c r="E129" s="61"/>
      <c r="F129" s="61"/>
      <c r="G129" s="42">
        <v>2000</v>
      </c>
      <c r="H129" s="71"/>
    </row>
    <row r="130" spans="1:8" x14ac:dyDescent="0.3">
      <c r="A130" s="20"/>
      <c r="B130" s="51" t="s">
        <v>121</v>
      </c>
      <c r="C130" s="61"/>
      <c r="D130" s="61"/>
      <c r="E130" s="61"/>
      <c r="F130" s="61"/>
      <c r="G130" s="42">
        <v>6500</v>
      </c>
      <c r="H130" s="71"/>
    </row>
    <row r="131" spans="1:8" x14ac:dyDescent="0.3">
      <c r="A131" s="20"/>
      <c r="B131" s="51" t="s">
        <v>155</v>
      </c>
      <c r="C131" s="61"/>
      <c r="D131" s="61"/>
      <c r="E131" s="61"/>
      <c r="F131" s="61"/>
      <c r="G131" s="42">
        <v>2400</v>
      </c>
      <c r="H131" s="71"/>
    </row>
    <row r="132" spans="1:8" x14ac:dyDescent="0.3">
      <c r="A132" s="20"/>
      <c r="B132" s="51" t="s">
        <v>156</v>
      </c>
      <c r="C132" s="61"/>
      <c r="D132" s="61"/>
      <c r="E132" s="61"/>
      <c r="F132" s="61"/>
      <c r="G132" s="42">
        <v>1100</v>
      </c>
      <c r="H132" s="71"/>
    </row>
    <row r="133" spans="1:8" x14ac:dyDescent="0.3">
      <c r="A133" s="20"/>
      <c r="B133" s="15"/>
      <c r="C133" s="21" t="s">
        <v>122</v>
      </c>
      <c r="D133" s="21"/>
      <c r="E133" s="21"/>
      <c r="F133" s="21"/>
      <c r="G133" s="23"/>
      <c r="H133" s="24">
        <f>SUM(G122:G132)</f>
        <v>81875.44</v>
      </c>
    </row>
    <row r="134" spans="1:8" x14ac:dyDescent="0.3">
      <c r="A134" s="20"/>
      <c r="B134" s="15"/>
      <c r="C134" s="15"/>
      <c r="D134" s="15"/>
      <c r="E134" s="15"/>
      <c r="F134" s="15"/>
      <c r="G134" s="23"/>
      <c r="H134" s="24"/>
    </row>
    <row r="135" spans="1:8" x14ac:dyDescent="0.3">
      <c r="A135" s="33" t="s">
        <v>123</v>
      </c>
      <c r="B135" s="15"/>
      <c r="C135" s="15"/>
      <c r="D135" s="15"/>
      <c r="E135" s="15"/>
      <c r="F135" s="15"/>
      <c r="G135" s="54"/>
      <c r="H135" s="24"/>
    </row>
    <row r="136" spans="1:8" s="82" customFormat="1" x14ac:dyDescent="0.3">
      <c r="A136" s="20"/>
      <c r="B136" s="15" t="s">
        <v>124</v>
      </c>
      <c r="C136" s="15"/>
      <c r="D136" s="15"/>
      <c r="E136" s="15"/>
      <c r="F136" s="15"/>
      <c r="G136" s="23">
        <v>5000</v>
      </c>
      <c r="H136" s="24"/>
    </row>
    <row r="137" spans="1:8" x14ac:dyDescent="0.3">
      <c r="A137" s="20">
        <v>6500</v>
      </c>
      <c r="B137" s="15" t="s">
        <v>125</v>
      </c>
      <c r="C137" s="15"/>
      <c r="D137" s="15"/>
      <c r="E137" s="23"/>
      <c r="F137" s="15"/>
      <c r="G137" s="23">
        <v>50000</v>
      </c>
      <c r="H137" s="24" t="s">
        <v>126</v>
      </c>
    </row>
    <row r="138" spans="1:8" x14ac:dyDescent="0.3">
      <c r="A138" s="20">
        <v>6500</v>
      </c>
      <c r="B138" s="15" t="s">
        <v>127</v>
      </c>
      <c r="C138" s="15"/>
      <c r="D138" s="15"/>
      <c r="E138" s="15"/>
      <c r="F138" s="15"/>
      <c r="G138" s="23">
        <v>7998.65</v>
      </c>
      <c r="H138" s="24"/>
    </row>
    <row r="139" spans="1:8" x14ac:dyDescent="0.3">
      <c r="A139" s="20"/>
      <c r="B139" s="15" t="s">
        <v>128</v>
      </c>
      <c r="C139" s="15"/>
      <c r="D139" s="15"/>
      <c r="E139" s="15"/>
      <c r="F139" s="15"/>
      <c r="G139" s="23">
        <f>2500*110%</f>
        <v>2750</v>
      </c>
      <c r="H139" s="24"/>
    </row>
    <row r="140" spans="1:8" x14ac:dyDescent="0.3">
      <c r="A140" s="20"/>
      <c r="B140" s="15" t="s">
        <v>129</v>
      </c>
      <c r="C140" s="15"/>
      <c r="D140" s="15"/>
      <c r="E140" s="15"/>
      <c r="F140" s="15"/>
      <c r="G140" s="23">
        <v>3000</v>
      </c>
      <c r="H140" s="24"/>
    </row>
    <row r="141" spans="1:8" x14ac:dyDescent="0.3">
      <c r="A141" s="20"/>
      <c r="B141" s="15" t="s">
        <v>130</v>
      </c>
      <c r="C141" s="15"/>
      <c r="D141" s="15"/>
      <c r="E141" s="15"/>
      <c r="F141" s="15"/>
      <c r="G141" s="23">
        <v>5760</v>
      </c>
      <c r="H141" s="24"/>
    </row>
    <row r="142" spans="1:8" x14ac:dyDescent="0.3">
      <c r="A142" s="20"/>
      <c r="B142" s="15" t="s">
        <v>131</v>
      </c>
      <c r="C142" s="15"/>
      <c r="D142" s="15"/>
      <c r="E142" s="15"/>
      <c r="F142" s="15"/>
      <c r="G142" s="23">
        <v>8460</v>
      </c>
      <c r="H142" s="24"/>
    </row>
    <row r="143" spans="1:8" x14ac:dyDescent="0.3">
      <c r="A143" s="20"/>
      <c r="B143" s="15" t="s">
        <v>132</v>
      </c>
      <c r="C143" s="15"/>
      <c r="D143" s="15"/>
      <c r="E143" s="15"/>
      <c r="F143" s="15"/>
      <c r="G143" s="23">
        <v>1400</v>
      </c>
      <c r="H143" s="24"/>
    </row>
    <row r="144" spans="1:8" x14ac:dyDescent="0.3">
      <c r="A144" s="20"/>
      <c r="B144" s="15" t="s">
        <v>133</v>
      </c>
      <c r="C144" s="15"/>
      <c r="D144" s="15"/>
      <c r="E144" s="15"/>
      <c r="F144" s="15"/>
      <c r="G144" s="23">
        <v>1350</v>
      </c>
      <c r="H144" s="24"/>
    </row>
    <row r="145" spans="1:8" x14ac:dyDescent="0.3">
      <c r="A145" s="20"/>
      <c r="B145" s="15" t="s">
        <v>134</v>
      </c>
      <c r="C145" s="15"/>
      <c r="D145" s="15"/>
      <c r="E145" s="15"/>
      <c r="F145" s="15"/>
      <c r="G145" s="23">
        <v>1000</v>
      </c>
      <c r="H145" s="24"/>
    </row>
    <row r="146" spans="1:8" x14ac:dyDescent="0.3">
      <c r="A146" s="20"/>
      <c r="B146" s="15" t="s">
        <v>135</v>
      </c>
      <c r="C146" s="15"/>
      <c r="D146" s="15"/>
      <c r="E146" s="15"/>
      <c r="F146" s="15"/>
      <c r="G146" s="23">
        <f>1500*114%</f>
        <v>1709.9999999999998</v>
      </c>
      <c r="H146" s="24"/>
    </row>
    <row r="147" spans="1:8" x14ac:dyDescent="0.3">
      <c r="A147" s="20"/>
      <c r="B147" s="15" t="s">
        <v>136</v>
      </c>
      <c r="C147" s="15"/>
      <c r="D147" s="15"/>
      <c r="E147" s="15"/>
      <c r="F147" s="15"/>
      <c r="G147" s="23">
        <f>456*112%</f>
        <v>510.72</v>
      </c>
      <c r="H147" s="24"/>
    </row>
    <row r="148" spans="1:8" x14ac:dyDescent="0.3">
      <c r="A148" s="20"/>
      <c r="B148" s="15" t="s">
        <v>137</v>
      </c>
      <c r="C148" s="15"/>
      <c r="D148" s="15"/>
      <c r="E148" s="15"/>
      <c r="F148" s="15"/>
      <c r="G148" s="23">
        <v>3000</v>
      </c>
      <c r="H148" s="24"/>
    </row>
    <row r="149" spans="1:8" x14ac:dyDescent="0.3">
      <c r="A149" s="20"/>
      <c r="B149" s="51" t="s">
        <v>138</v>
      </c>
      <c r="C149" s="51"/>
      <c r="D149" s="51"/>
      <c r="E149" s="51"/>
      <c r="F149" s="51"/>
      <c r="G149" s="23">
        <f>1800*114%</f>
        <v>2052</v>
      </c>
      <c r="H149" s="24"/>
    </row>
    <row r="150" spans="1:8" x14ac:dyDescent="0.3">
      <c r="A150" s="20"/>
      <c r="B150" s="15" t="s">
        <v>139</v>
      </c>
      <c r="C150" s="21"/>
      <c r="D150" s="21"/>
      <c r="E150" s="21"/>
      <c r="F150" s="21"/>
      <c r="G150" s="23">
        <v>0</v>
      </c>
      <c r="H150" s="24"/>
    </row>
    <row r="151" spans="1:8" s="82" customFormat="1" x14ac:dyDescent="0.3">
      <c r="A151" s="20"/>
      <c r="B151" s="51" t="s">
        <v>140</v>
      </c>
      <c r="C151" s="61"/>
      <c r="D151" s="61"/>
      <c r="E151" s="61"/>
      <c r="F151" s="61"/>
      <c r="G151" s="42">
        <f>1368*112%</f>
        <v>1532.16</v>
      </c>
      <c r="H151" s="75"/>
    </row>
    <row r="152" spans="1:8" x14ac:dyDescent="0.3">
      <c r="A152" s="20"/>
      <c r="B152" s="15" t="s">
        <v>141</v>
      </c>
      <c r="C152" s="15"/>
      <c r="D152" s="15"/>
      <c r="E152" s="15"/>
      <c r="F152" s="15"/>
      <c r="G152" s="23">
        <f>12500*112%</f>
        <v>14000.000000000002</v>
      </c>
      <c r="H152" s="75"/>
    </row>
    <row r="153" spans="1:8" x14ac:dyDescent="0.3">
      <c r="A153" s="20"/>
      <c r="B153" s="15" t="s">
        <v>142</v>
      </c>
      <c r="C153" s="15"/>
      <c r="D153" s="15"/>
      <c r="E153" s="15"/>
      <c r="F153" s="15"/>
      <c r="G153" s="23">
        <f>769.5*112%</f>
        <v>861.84</v>
      </c>
      <c r="H153" s="75"/>
    </row>
    <row r="154" spans="1:8" x14ac:dyDescent="0.3">
      <c r="A154" s="20"/>
      <c r="B154" s="15"/>
      <c r="C154" s="21" t="s">
        <v>143</v>
      </c>
      <c r="D154" s="21"/>
      <c r="E154" s="21"/>
      <c r="F154" s="21"/>
      <c r="G154" s="31"/>
      <c r="H154" s="24">
        <f>SUM(G136:G153)</f>
        <v>110385.37</v>
      </c>
    </row>
    <row r="155" spans="1:8" x14ac:dyDescent="0.3">
      <c r="A155" s="33" t="s">
        <v>144</v>
      </c>
      <c r="B155" s="15"/>
      <c r="C155" s="21"/>
      <c r="D155" s="21"/>
      <c r="E155" s="21"/>
      <c r="F155" s="21"/>
      <c r="G155" s="54"/>
      <c r="H155" s="71"/>
    </row>
    <row r="156" spans="1:8" x14ac:dyDescent="0.3">
      <c r="A156" s="20"/>
      <c r="B156" s="15" t="s">
        <v>145</v>
      </c>
      <c r="C156" s="21"/>
      <c r="D156" s="21"/>
      <c r="E156" s="21"/>
      <c r="F156" s="21"/>
      <c r="G156" s="23">
        <v>0</v>
      </c>
      <c r="H156" s="24"/>
    </row>
    <row r="157" spans="1:8" s="82" customFormat="1" x14ac:dyDescent="0.3">
      <c r="A157" s="20"/>
      <c r="B157" s="58"/>
      <c r="C157" s="21"/>
      <c r="D157" s="21"/>
      <c r="E157" s="21"/>
      <c r="F157" s="21"/>
      <c r="G157" s="62"/>
      <c r="H157" s="24"/>
    </row>
    <row r="158" spans="1:8" x14ac:dyDescent="0.3">
      <c r="A158" s="20"/>
      <c r="B158" s="51" t="s">
        <v>146</v>
      </c>
      <c r="C158" s="51"/>
      <c r="D158" s="61">
        <v>0</v>
      </c>
      <c r="E158" s="52">
        <v>534</v>
      </c>
      <c r="F158" s="61"/>
      <c r="G158" s="52">
        <f>SUM(D158*E158)</f>
        <v>0</v>
      </c>
      <c r="H158" s="24"/>
    </row>
    <row r="159" spans="1:8" x14ac:dyDescent="0.3">
      <c r="A159" s="20"/>
      <c r="B159" s="51" t="s">
        <v>147</v>
      </c>
      <c r="C159" s="51"/>
      <c r="D159" s="61"/>
      <c r="E159" s="52"/>
      <c r="F159" s="61"/>
      <c r="G159" s="42">
        <v>6000</v>
      </c>
      <c r="H159" s="24"/>
    </row>
    <row r="160" spans="1:8" x14ac:dyDescent="0.3">
      <c r="A160" s="20"/>
      <c r="B160" s="15"/>
      <c r="C160" s="15"/>
      <c r="D160" s="15"/>
      <c r="E160" s="15"/>
      <c r="F160" s="15"/>
      <c r="G160" s="62"/>
      <c r="H160" s="71"/>
    </row>
    <row r="161" spans="1:8" x14ac:dyDescent="0.3">
      <c r="A161" s="20"/>
      <c r="B161" s="15"/>
      <c r="C161" s="15"/>
      <c r="D161" s="15"/>
      <c r="E161" s="15"/>
      <c r="F161" s="15"/>
      <c r="G161" s="23"/>
      <c r="H161" s="24">
        <f>SUM(G156:G160)</f>
        <v>6000</v>
      </c>
    </row>
    <row r="162" spans="1:8" x14ac:dyDescent="0.3">
      <c r="A162" s="20"/>
      <c r="B162" s="15"/>
      <c r="C162" s="15"/>
      <c r="D162" s="15"/>
      <c r="E162" s="15"/>
      <c r="F162" s="15"/>
      <c r="G162" s="23"/>
      <c r="H162" s="71"/>
    </row>
    <row r="163" spans="1:8" x14ac:dyDescent="0.3">
      <c r="A163" s="20"/>
      <c r="B163" s="15"/>
      <c r="C163" s="21" t="s">
        <v>148</v>
      </c>
      <c r="D163" s="21"/>
      <c r="E163" s="21"/>
      <c r="F163" s="21"/>
      <c r="G163" s="23"/>
      <c r="H163" s="76">
        <f>SUM(H3:H12)</f>
        <v>4657848.5549999997</v>
      </c>
    </row>
    <row r="164" spans="1:8" x14ac:dyDescent="0.3">
      <c r="A164" s="20"/>
      <c r="B164" s="15"/>
      <c r="C164" s="21" t="s">
        <v>149</v>
      </c>
      <c r="D164" s="15"/>
      <c r="E164" s="15"/>
      <c r="F164" s="15"/>
      <c r="G164" s="23"/>
      <c r="H164" s="76">
        <f>SUM(H49:H161)</f>
        <v>4630356.5759787736</v>
      </c>
    </row>
    <row r="165" spans="1:8" ht="15" thickBot="1" x14ac:dyDescent="0.35">
      <c r="A165" s="77"/>
      <c r="B165" s="78"/>
      <c r="C165" s="79" t="s">
        <v>150</v>
      </c>
      <c r="D165" s="78"/>
      <c r="E165" s="78"/>
      <c r="F165" s="78"/>
      <c r="G165" s="80"/>
      <c r="H165" s="81">
        <f>SUM(H163-H164)</f>
        <v>27491.979021226056</v>
      </c>
    </row>
    <row r="166" spans="1:8" x14ac:dyDescent="0.3">
      <c r="A166" s="114"/>
      <c r="B166" s="114"/>
      <c r="C166" s="114"/>
      <c r="D166" s="114"/>
      <c r="E166" s="114"/>
      <c r="F166" s="114"/>
      <c r="G166" s="114"/>
      <c r="H166" s="114"/>
    </row>
    <row r="167" spans="1:8" x14ac:dyDescent="0.3">
      <c r="A167" s="63"/>
      <c r="B167" s="63" t="s">
        <v>5</v>
      </c>
      <c r="C167" s="64" t="s">
        <v>5</v>
      </c>
      <c r="D167" s="63"/>
      <c r="E167" s="63"/>
      <c r="F167" s="63"/>
      <c r="G167" s="63"/>
      <c r="H167" s="65"/>
    </row>
    <row r="168" spans="1:8" x14ac:dyDescent="0.3">
      <c r="A168" s="63"/>
      <c r="B168" s="63" t="s">
        <v>5</v>
      </c>
      <c r="C168" s="63"/>
      <c r="D168" s="63"/>
      <c r="E168" s="63"/>
      <c r="F168" s="63"/>
      <c r="G168" s="63"/>
      <c r="H168" s="65"/>
    </row>
    <row r="169" spans="1:8" x14ac:dyDescent="0.3">
      <c r="A169" s="63"/>
      <c r="B169" s="63"/>
      <c r="C169" s="63"/>
      <c r="D169" s="63"/>
      <c r="E169" s="63"/>
      <c r="F169" s="63"/>
      <c r="G169" s="63"/>
      <c r="H169" s="65"/>
    </row>
    <row r="170" spans="1:8" x14ac:dyDescent="0.3">
      <c r="A170" s="63"/>
      <c r="B170" s="63"/>
      <c r="C170" s="63"/>
      <c r="D170" s="63"/>
      <c r="E170" s="63"/>
      <c r="F170" s="63"/>
      <c r="G170" s="65"/>
      <c r="H170" s="65"/>
    </row>
    <row r="171" spans="1:8" x14ac:dyDescent="0.3">
      <c r="A171" s="63"/>
      <c r="B171" s="63"/>
      <c r="C171" s="63"/>
      <c r="D171" s="63"/>
      <c r="E171" s="63"/>
      <c r="F171" s="63"/>
      <c r="G171" s="63"/>
      <c r="H171" s="65"/>
    </row>
    <row r="172" spans="1:8" x14ac:dyDescent="0.3">
      <c r="A172" s="63"/>
      <c r="B172" s="63"/>
      <c r="C172" s="63"/>
      <c r="D172" s="63"/>
      <c r="E172" s="63"/>
      <c r="F172" s="63"/>
      <c r="G172" s="63"/>
      <c r="H172" s="65"/>
    </row>
    <row r="173" spans="1:8" x14ac:dyDescent="0.3">
      <c r="A173" s="63"/>
      <c r="B173" s="63"/>
      <c r="C173" s="63"/>
      <c r="D173" s="63"/>
      <c r="E173" s="63"/>
      <c r="F173" s="63"/>
      <c r="G173" s="63"/>
      <c r="H173" s="65"/>
    </row>
    <row r="174" spans="1:8" x14ac:dyDescent="0.3">
      <c r="A174" s="63"/>
      <c r="B174" s="63"/>
      <c r="C174" s="63"/>
      <c r="D174" s="63"/>
      <c r="E174" s="63"/>
      <c r="F174" s="63"/>
      <c r="G174" s="63"/>
      <c r="H174" s="65"/>
    </row>
    <row r="175" spans="1:8" x14ac:dyDescent="0.3">
      <c r="A175" s="63"/>
      <c r="B175" s="63"/>
      <c r="C175" s="63"/>
      <c r="D175" s="63"/>
      <c r="E175" s="63"/>
      <c r="F175" s="63"/>
      <c r="G175" s="63"/>
      <c r="H175" s="65"/>
    </row>
    <row r="176" spans="1:8" x14ac:dyDescent="0.3">
      <c r="A176" s="63"/>
      <c r="B176" s="63"/>
      <c r="C176" s="63"/>
      <c r="D176" s="63"/>
      <c r="E176" s="63"/>
      <c r="F176" s="63"/>
      <c r="G176" s="63"/>
      <c r="H176" s="65"/>
    </row>
    <row r="177" spans="1:8" x14ac:dyDescent="0.3">
      <c r="A177" s="63"/>
      <c r="B177" s="63"/>
      <c r="C177" s="63"/>
      <c r="D177" s="63"/>
      <c r="E177" s="63"/>
      <c r="F177" s="63"/>
      <c r="G177" s="63"/>
      <c r="H177" s="65"/>
    </row>
    <row r="178" spans="1:8" x14ac:dyDescent="0.3">
      <c r="A178" s="63"/>
      <c r="B178" s="63"/>
      <c r="C178" s="63"/>
      <c r="D178" s="63"/>
      <c r="E178" s="63"/>
      <c r="F178" s="63"/>
      <c r="G178" s="63"/>
      <c r="H178" s="65"/>
    </row>
    <row r="179" spans="1:8" x14ac:dyDescent="0.3">
      <c r="A179" s="63"/>
      <c r="B179" s="63"/>
      <c r="C179" s="63"/>
      <c r="D179" s="63"/>
      <c r="E179" s="63"/>
      <c r="F179" s="63"/>
      <c r="G179" s="63"/>
      <c r="H179" s="65"/>
    </row>
    <row r="180" spans="1:8" s="66" customFormat="1" x14ac:dyDescent="0.3">
      <c r="A180" s="63"/>
      <c r="B180" s="63"/>
      <c r="C180" s="63"/>
      <c r="D180" s="63"/>
      <c r="E180" s="63"/>
      <c r="F180" s="63"/>
      <c r="G180" s="63"/>
      <c r="H180" s="65"/>
    </row>
    <row r="181" spans="1:8" x14ac:dyDescent="0.3">
      <c r="A181" s="63"/>
      <c r="B181" s="63"/>
      <c r="C181" s="63"/>
      <c r="D181" s="63"/>
      <c r="E181" s="67"/>
      <c r="F181" s="63"/>
      <c r="G181" s="63"/>
      <c r="H181" s="65"/>
    </row>
    <row r="182" spans="1:8" x14ac:dyDescent="0.3">
      <c r="A182" s="63"/>
      <c r="B182" s="63"/>
      <c r="C182" s="63"/>
      <c r="D182" s="63"/>
      <c r="E182" s="67"/>
      <c r="F182" s="63"/>
      <c r="G182" s="63"/>
      <c r="H182" s="65"/>
    </row>
    <row r="183" spans="1:8" x14ac:dyDescent="0.3">
      <c r="A183" s="63"/>
      <c r="B183" s="63"/>
      <c r="C183" s="63"/>
      <c r="D183" s="63"/>
      <c r="E183" s="68"/>
      <c r="F183" s="63"/>
      <c r="G183" s="63"/>
      <c r="H183" s="65"/>
    </row>
    <row r="184" spans="1:8" x14ac:dyDescent="0.3">
      <c r="A184" s="63"/>
      <c r="B184" s="63"/>
      <c r="C184" s="63"/>
      <c r="D184" s="63"/>
      <c r="E184" s="63"/>
      <c r="F184" s="63"/>
      <c r="G184" s="63"/>
      <c r="H184" s="65"/>
    </row>
    <row r="185" spans="1:8" x14ac:dyDescent="0.3">
      <c r="A185" s="63"/>
      <c r="B185" s="63"/>
      <c r="C185" s="63"/>
      <c r="D185" s="63"/>
      <c r="E185" s="63"/>
      <c r="F185" s="63"/>
      <c r="G185" s="63"/>
      <c r="H185" s="65"/>
    </row>
    <row r="186" spans="1:8" x14ac:dyDescent="0.3">
      <c r="A186" s="63"/>
      <c r="B186" s="63"/>
      <c r="C186" s="63"/>
      <c r="D186" s="63"/>
      <c r="E186" s="63"/>
      <c r="F186" s="63"/>
      <c r="G186" s="63"/>
      <c r="H186" s="65"/>
    </row>
    <row r="187" spans="1:8" x14ac:dyDescent="0.3">
      <c r="A187" s="63"/>
      <c r="B187" s="63"/>
      <c r="C187" s="63"/>
      <c r="D187" s="63"/>
      <c r="E187" s="63"/>
      <c r="F187" s="63"/>
      <c r="G187" s="63"/>
      <c r="H187" s="65"/>
    </row>
    <row r="188" spans="1:8" x14ac:dyDescent="0.3">
      <c r="A188" s="63"/>
      <c r="B188" s="63"/>
      <c r="C188" s="63"/>
      <c r="D188" s="63"/>
      <c r="E188" s="63"/>
      <c r="F188" s="63"/>
      <c r="G188" s="63"/>
      <c r="H188" s="65"/>
    </row>
    <row r="189" spans="1:8" x14ac:dyDescent="0.3">
      <c r="A189" s="63"/>
      <c r="B189" s="63"/>
      <c r="C189" s="63"/>
      <c r="D189" s="63"/>
      <c r="E189" s="63"/>
      <c r="F189" s="63"/>
      <c r="G189" s="63"/>
      <c r="H189" s="65"/>
    </row>
    <row r="190" spans="1:8" x14ac:dyDescent="0.3">
      <c r="A190" s="63"/>
      <c r="B190" s="63"/>
      <c r="C190" s="63"/>
      <c r="D190" s="63"/>
      <c r="E190" s="63"/>
      <c r="F190" s="63"/>
      <c r="G190" s="63"/>
      <c r="H190" s="65"/>
    </row>
    <row r="191" spans="1:8" x14ac:dyDescent="0.3">
      <c r="A191" s="63"/>
      <c r="B191" s="63"/>
      <c r="C191" s="63"/>
      <c r="D191" s="63"/>
      <c r="E191" s="67"/>
      <c r="F191" s="63"/>
      <c r="G191" s="63"/>
      <c r="H191" s="65"/>
    </row>
    <row r="192" spans="1:8" x14ac:dyDescent="0.3">
      <c r="A192" s="63"/>
      <c r="B192" s="63"/>
      <c r="C192" s="63"/>
      <c r="D192" s="63"/>
      <c r="E192" s="67"/>
      <c r="F192" s="63"/>
      <c r="G192" s="63"/>
      <c r="H192" s="65"/>
    </row>
  </sheetData>
  <mergeCells count="2">
    <mergeCell ref="A1:H1"/>
    <mergeCell ref="A166:H16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01AF-8F2F-4754-B141-EC018E442447}">
  <dimension ref="A1:E12"/>
  <sheetViews>
    <sheetView workbookViewId="0">
      <selection activeCell="E27" sqref="E25:E27"/>
    </sheetView>
  </sheetViews>
  <sheetFormatPr defaultRowHeight="14.4" x14ac:dyDescent="0.3"/>
  <cols>
    <col min="1" max="1" width="18.109375" customWidth="1"/>
    <col min="5" max="5" width="14" customWidth="1"/>
  </cols>
  <sheetData>
    <row r="1" spans="1:5" x14ac:dyDescent="0.3">
      <c r="E1" s="44">
        <v>41000</v>
      </c>
    </row>
    <row r="2" spans="1:5" x14ac:dyDescent="0.3">
      <c r="A2" t="s">
        <v>232</v>
      </c>
      <c r="E2" s="97">
        <v>-10000</v>
      </c>
    </row>
    <row r="3" spans="1:5" x14ac:dyDescent="0.3">
      <c r="A3" t="s">
        <v>233</v>
      </c>
      <c r="E3" s="97">
        <v>-16000</v>
      </c>
    </row>
    <row r="4" spans="1:5" x14ac:dyDescent="0.3">
      <c r="A4" t="s">
        <v>234</v>
      </c>
      <c r="C4" s="97">
        <v>-375</v>
      </c>
      <c r="D4">
        <v>23</v>
      </c>
      <c r="E4" s="97">
        <f>C4*D4</f>
        <v>-8625</v>
      </c>
    </row>
    <row r="5" spans="1:5" x14ac:dyDescent="0.3">
      <c r="A5" t="s">
        <v>237</v>
      </c>
      <c r="E5" s="97">
        <v>-1346.96</v>
      </c>
    </row>
    <row r="6" spans="1:5" x14ac:dyDescent="0.3">
      <c r="A6" t="s">
        <v>235</v>
      </c>
    </row>
    <row r="7" spans="1:5" x14ac:dyDescent="0.3">
      <c r="A7" t="s">
        <v>236</v>
      </c>
      <c r="E7" s="97">
        <v>-350</v>
      </c>
    </row>
    <row r="8" spans="1:5" x14ac:dyDescent="0.3">
      <c r="A8" t="s">
        <v>238</v>
      </c>
      <c r="E8" s="97">
        <v>-629</v>
      </c>
    </row>
    <row r="9" spans="1:5" x14ac:dyDescent="0.3">
      <c r="A9" t="s">
        <v>239</v>
      </c>
      <c r="E9" s="97">
        <v>-1000</v>
      </c>
    </row>
    <row r="10" spans="1:5" x14ac:dyDescent="0.3">
      <c r="A10" t="s">
        <v>240</v>
      </c>
    </row>
    <row r="12" spans="1:5" x14ac:dyDescent="0.3">
      <c r="E12" s="96">
        <f>SUM(E1:E9)</f>
        <v>3049.04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DB93-6543-40F3-B527-3BC789B20C90}">
  <dimension ref="A1:D21"/>
  <sheetViews>
    <sheetView workbookViewId="0">
      <selection activeCell="H10" sqref="H10"/>
    </sheetView>
  </sheetViews>
  <sheetFormatPr defaultRowHeight="14.4" x14ac:dyDescent="0.3"/>
  <cols>
    <col min="3" max="3" width="14" customWidth="1"/>
  </cols>
  <sheetData>
    <row r="1" spans="1:4" x14ac:dyDescent="0.3">
      <c r="A1" t="s">
        <v>211</v>
      </c>
      <c r="C1">
        <v>23900</v>
      </c>
    </row>
    <row r="2" spans="1:4" x14ac:dyDescent="0.3">
      <c r="C2">
        <v>-2500</v>
      </c>
      <c r="D2" t="s">
        <v>227</v>
      </c>
    </row>
    <row r="3" spans="1:4" x14ac:dyDescent="0.3">
      <c r="C3">
        <v>-2500</v>
      </c>
      <c r="D3" t="s">
        <v>227</v>
      </c>
    </row>
    <row r="4" spans="1:4" x14ac:dyDescent="0.3">
      <c r="C4">
        <v>1000</v>
      </c>
      <c r="D4" t="s">
        <v>212</v>
      </c>
    </row>
    <row r="5" spans="1:4" x14ac:dyDescent="0.3">
      <c r="C5">
        <v>1000</v>
      </c>
      <c r="D5" t="s">
        <v>213</v>
      </c>
    </row>
    <row r="6" spans="1:4" x14ac:dyDescent="0.3">
      <c r="C6">
        <v>2000</v>
      </c>
      <c r="D6" t="s">
        <v>214</v>
      </c>
    </row>
    <row r="7" spans="1:4" x14ac:dyDescent="0.3">
      <c r="C7">
        <f>SUM(C1:C6)</f>
        <v>22900</v>
      </c>
    </row>
    <row r="9" spans="1:4" x14ac:dyDescent="0.3">
      <c r="C9" t="s">
        <v>215</v>
      </c>
      <c r="D9">
        <v>500</v>
      </c>
    </row>
    <row r="10" spans="1:4" x14ac:dyDescent="0.3">
      <c r="C10" t="s">
        <v>216</v>
      </c>
      <c r="D10">
        <v>500</v>
      </c>
    </row>
    <row r="11" spans="1:4" x14ac:dyDescent="0.3">
      <c r="C11" t="s">
        <v>217</v>
      </c>
      <c r="D11">
        <v>500</v>
      </c>
    </row>
    <row r="12" spans="1:4" x14ac:dyDescent="0.3">
      <c r="C12" t="s">
        <v>218</v>
      </c>
      <c r="D12">
        <v>500</v>
      </c>
    </row>
    <row r="13" spans="1:4" x14ac:dyDescent="0.3">
      <c r="C13" t="s">
        <v>219</v>
      </c>
      <c r="D13">
        <v>1500</v>
      </c>
    </row>
    <row r="14" spans="1:4" x14ac:dyDescent="0.3">
      <c r="C14" t="s">
        <v>220</v>
      </c>
      <c r="D14">
        <v>500</v>
      </c>
    </row>
    <row r="15" spans="1:4" x14ac:dyDescent="0.3">
      <c r="C15" t="s">
        <v>221</v>
      </c>
      <c r="D15">
        <v>500</v>
      </c>
    </row>
    <row r="16" spans="1:4" x14ac:dyDescent="0.3">
      <c r="C16" t="s">
        <v>222</v>
      </c>
      <c r="D16">
        <v>1000</v>
      </c>
    </row>
    <row r="17" spans="3:4" x14ac:dyDescent="0.3">
      <c r="C17" t="s">
        <v>223</v>
      </c>
      <c r="D17">
        <v>1000</v>
      </c>
    </row>
    <row r="18" spans="3:4" x14ac:dyDescent="0.3">
      <c r="C18" t="s">
        <v>224</v>
      </c>
      <c r="D18">
        <v>1500</v>
      </c>
    </row>
    <row r="19" spans="3:4" x14ac:dyDescent="0.3">
      <c r="C19" t="s">
        <v>225</v>
      </c>
      <c r="D19">
        <v>500</v>
      </c>
    </row>
    <row r="20" spans="3:4" x14ac:dyDescent="0.3">
      <c r="C20" t="s">
        <v>226</v>
      </c>
      <c r="D20">
        <v>500</v>
      </c>
    </row>
    <row r="21" spans="3:4" x14ac:dyDescent="0.3">
      <c r="D21">
        <f>SUM(D9:D20)</f>
        <v>9000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671F-9600-436C-9A2A-20F0C0F1DB43}">
  <dimension ref="B2:P29"/>
  <sheetViews>
    <sheetView workbookViewId="0">
      <selection activeCell="H26" sqref="H26"/>
    </sheetView>
  </sheetViews>
  <sheetFormatPr defaultRowHeight="14.4" x14ac:dyDescent="0.3"/>
  <sheetData>
    <row r="2" spans="2:16" x14ac:dyDescent="0.3">
      <c r="B2" t="s">
        <v>198</v>
      </c>
    </row>
    <row r="3" spans="2:16" x14ac:dyDescent="0.3">
      <c r="B3">
        <v>8</v>
      </c>
      <c r="C3">
        <v>16.5</v>
      </c>
      <c r="D3">
        <f>B3*C3</f>
        <v>132</v>
      </c>
      <c r="E3">
        <f>D3*107.5%</f>
        <v>141.9</v>
      </c>
      <c r="J3" s="105"/>
      <c r="K3">
        <v>2.5</v>
      </c>
    </row>
    <row r="4" spans="2:16" x14ac:dyDescent="0.3">
      <c r="B4">
        <v>8</v>
      </c>
      <c r="C4">
        <v>16.5</v>
      </c>
      <c r="D4">
        <f t="shared" ref="D4:D7" si="0">B4*C4</f>
        <v>132</v>
      </c>
      <c r="E4">
        <f t="shared" ref="E4:E7" si="1">D4*107.5%</f>
        <v>141.9</v>
      </c>
      <c r="G4">
        <f t="shared" ref="G4:G9" si="2">B3*C3</f>
        <v>132</v>
      </c>
      <c r="H4">
        <f>G4*112%</f>
        <v>147.84</v>
      </c>
    </row>
    <row r="5" spans="2:16" x14ac:dyDescent="0.3">
      <c r="B5">
        <v>8</v>
      </c>
      <c r="C5">
        <v>16.5</v>
      </c>
      <c r="D5">
        <f t="shared" si="0"/>
        <v>132</v>
      </c>
      <c r="E5">
        <f t="shared" si="1"/>
        <v>141.9</v>
      </c>
      <c r="G5">
        <f t="shared" si="2"/>
        <v>132</v>
      </c>
      <c r="H5">
        <f t="shared" ref="H5:H9" si="3">G5*112%</f>
        <v>147.84</v>
      </c>
    </row>
    <row r="6" spans="2:16" x14ac:dyDescent="0.3">
      <c r="B6">
        <v>8</v>
      </c>
      <c r="C6">
        <v>16.5</v>
      </c>
      <c r="D6">
        <f t="shared" si="0"/>
        <v>132</v>
      </c>
      <c r="E6">
        <f t="shared" si="1"/>
        <v>141.9</v>
      </c>
      <c r="G6">
        <f t="shared" si="2"/>
        <v>132</v>
      </c>
      <c r="H6">
        <f t="shared" si="3"/>
        <v>147.84</v>
      </c>
    </row>
    <row r="7" spans="2:16" x14ac:dyDescent="0.3">
      <c r="B7">
        <v>8</v>
      </c>
      <c r="C7">
        <v>16.5</v>
      </c>
      <c r="D7">
        <f t="shared" si="0"/>
        <v>132</v>
      </c>
      <c r="E7">
        <f t="shared" si="1"/>
        <v>141.9</v>
      </c>
      <c r="G7">
        <f t="shared" si="2"/>
        <v>132</v>
      </c>
      <c r="H7">
        <f t="shared" si="3"/>
        <v>147.84</v>
      </c>
    </row>
    <row r="8" spans="2:16" x14ac:dyDescent="0.3">
      <c r="G8">
        <f t="shared" si="2"/>
        <v>132</v>
      </c>
      <c r="H8">
        <f t="shared" si="3"/>
        <v>147.84</v>
      </c>
    </row>
    <row r="9" spans="2:16" x14ac:dyDescent="0.3">
      <c r="E9">
        <f>SUM(E3:E8)</f>
        <v>709.5</v>
      </c>
      <c r="G9">
        <f t="shared" si="2"/>
        <v>0</v>
      </c>
      <c r="H9">
        <f t="shared" si="3"/>
        <v>0</v>
      </c>
      <c r="P9" t="s">
        <v>228</v>
      </c>
    </row>
    <row r="10" spans="2:16" x14ac:dyDescent="0.3">
      <c r="P10" t="s">
        <v>229</v>
      </c>
    </row>
    <row r="11" spans="2:16" x14ac:dyDescent="0.3">
      <c r="E11" s="106">
        <v>1000</v>
      </c>
      <c r="P11" t="s">
        <v>230</v>
      </c>
    </row>
    <row r="12" spans="2:16" x14ac:dyDescent="0.3">
      <c r="P12" t="s">
        <v>231</v>
      </c>
    </row>
    <row r="13" spans="2:16" x14ac:dyDescent="0.3">
      <c r="B13">
        <v>4</v>
      </c>
      <c r="C13">
        <v>120</v>
      </c>
      <c r="D13">
        <f>C13*130%</f>
        <v>156</v>
      </c>
      <c r="E13">
        <f>D13*4</f>
        <v>624</v>
      </c>
      <c r="G13">
        <f>5*8</f>
        <v>40</v>
      </c>
    </row>
    <row r="14" spans="2:16" x14ac:dyDescent="0.3">
      <c r="B14">
        <v>4</v>
      </c>
      <c r="C14">
        <v>75</v>
      </c>
      <c r="D14">
        <f t="shared" ref="D14:D17" si="4">C14*130%</f>
        <v>97.5</v>
      </c>
      <c r="E14">
        <f t="shared" ref="E14:E17" si="5">D14*4</f>
        <v>390</v>
      </c>
    </row>
    <row r="15" spans="2:16" x14ac:dyDescent="0.3">
      <c r="B15">
        <v>4</v>
      </c>
      <c r="C15">
        <v>75</v>
      </c>
      <c r="D15">
        <f t="shared" si="4"/>
        <v>97.5</v>
      </c>
      <c r="E15">
        <f t="shared" si="5"/>
        <v>390</v>
      </c>
      <c r="N15" s="96">
        <v>7500</v>
      </c>
    </row>
    <row r="16" spans="2:16" x14ac:dyDescent="0.3">
      <c r="B16">
        <v>4</v>
      </c>
      <c r="C16">
        <v>75</v>
      </c>
      <c r="D16">
        <f t="shared" si="4"/>
        <v>97.5</v>
      </c>
      <c r="E16">
        <f t="shared" si="5"/>
        <v>390</v>
      </c>
      <c r="N16">
        <v>-800</v>
      </c>
    </row>
    <row r="17" spans="2:14" x14ac:dyDescent="0.3">
      <c r="B17">
        <v>4</v>
      </c>
      <c r="C17">
        <v>75</v>
      </c>
      <c r="D17">
        <f t="shared" si="4"/>
        <v>97.5</v>
      </c>
      <c r="E17">
        <f t="shared" si="5"/>
        <v>390</v>
      </c>
      <c r="G17">
        <v>3000</v>
      </c>
      <c r="H17" s="104">
        <v>1.3</v>
      </c>
      <c r="I17">
        <f>G17*H17</f>
        <v>3900</v>
      </c>
      <c r="N17">
        <v>-1000</v>
      </c>
    </row>
    <row r="18" spans="2:14" x14ac:dyDescent="0.3">
      <c r="G18">
        <v>30</v>
      </c>
      <c r="N18" s="96">
        <f>SUM(N15:N17)</f>
        <v>5700</v>
      </c>
    </row>
    <row r="19" spans="2:14" x14ac:dyDescent="0.3">
      <c r="E19">
        <f>SUM(E13:E17)</f>
        <v>2184</v>
      </c>
      <c r="G19">
        <f>G17/G18</f>
        <v>100</v>
      </c>
    </row>
    <row r="23" spans="2:14" x14ac:dyDescent="0.3">
      <c r="D23">
        <v>3200</v>
      </c>
    </row>
    <row r="24" spans="2:14" x14ac:dyDescent="0.3">
      <c r="D24">
        <f>D23/5</f>
        <v>640</v>
      </c>
    </row>
    <row r="25" spans="2:14" x14ac:dyDescent="0.3">
      <c r="D25">
        <f>D24/4</f>
        <v>160</v>
      </c>
    </row>
    <row r="26" spans="2:14" x14ac:dyDescent="0.3">
      <c r="D26">
        <f>D25/4</f>
        <v>40</v>
      </c>
      <c r="H26">
        <f>SUM(E13:E18)</f>
        <v>2184</v>
      </c>
    </row>
    <row r="27" spans="2:14" x14ac:dyDescent="0.3">
      <c r="G27" s="104">
        <v>1.3</v>
      </c>
      <c r="H27">
        <v>5000</v>
      </c>
    </row>
    <row r="29" spans="2:14" x14ac:dyDescent="0.3">
      <c r="G29">
        <f>D23*G27</f>
        <v>4160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AA24-8BF5-46FB-AFD4-6636A5867D74}">
  <dimension ref="A1:R28"/>
  <sheetViews>
    <sheetView topLeftCell="E1" zoomScale="111" workbookViewId="0">
      <selection activeCell="R19" sqref="R19"/>
    </sheetView>
  </sheetViews>
  <sheetFormatPr defaultRowHeight="14.4" x14ac:dyDescent="0.3"/>
  <cols>
    <col min="1" max="1" width="24.21875" customWidth="1"/>
    <col min="2" max="2" width="19.44140625" style="44" customWidth="1"/>
    <col min="3" max="3" width="11.109375" bestFit="1" customWidth="1"/>
    <col min="8" max="8" width="17.44140625" customWidth="1"/>
    <col min="11" max="11" width="20.77734375" customWidth="1"/>
    <col min="12" max="12" width="15.5546875" customWidth="1"/>
    <col min="13" max="13" width="13.6640625" bestFit="1" customWidth="1"/>
    <col min="15" max="15" width="25.6640625" customWidth="1"/>
    <col min="16" max="16" width="15.5546875" customWidth="1"/>
    <col min="17" max="17" width="13.6640625" bestFit="1" customWidth="1"/>
  </cols>
  <sheetData>
    <row r="1" spans="1:18" x14ac:dyDescent="0.3">
      <c r="P1" t="s">
        <v>158</v>
      </c>
      <c r="Q1" t="s">
        <v>159</v>
      </c>
    </row>
    <row r="2" spans="1:18" x14ac:dyDescent="0.3">
      <c r="A2" s="83" t="s">
        <v>160</v>
      </c>
      <c r="B2" s="84">
        <v>54584.82</v>
      </c>
      <c r="G2" s="85">
        <v>1</v>
      </c>
      <c r="H2" s="85">
        <v>116</v>
      </c>
      <c r="J2">
        <v>1</v>
      </c>
      <c r="K2" s="83" t="s">
        <v>160</v>
      </c>
      <c r="L2" s="84">
        <v>54584.82</v>
      </c>
      <c r="M2" s="86"/>
      <c r="N2">
        <v>1</v>
      </c>
      <c r="O2" s="99" t="s">
        <v>160</v>
      </c>
      <c r="P2" s="84">
        <v>54584.82</v>
      </c>
      <c r="Q2" s="100">
        <f>P2+1000</f>
        <v>55584.82</v>
      </c>
    </row>
    <row r="3" spans="1:18" x14ac:dyDescent="0.3">
      <c r="A3" s="83" t="s">
        <v>161</v>
      </c>
      <c r="B3" s="84">
        <v>54545.36</v>
      </c>
      <c r="G3" s="85">
        <v>2</v>
      </c>
      <c r="H3" s="85">
        <v>201</v>
      </c>
      <c r="J3">
        <v>2</v>
      </c>
      <c r="K3" s="83" t="s">
        <v>161</v>
      </c>
      <c r="L3" s="84">
        <v>54545.36</v>
      </c>
      <c r="M3" s="86"/>
      <c r="N3">
        <v>2</v>
      </c>
      <c r="O3" s="99" t="s">
        <v>161</v>
      </c>
      <c r="P3" s="84">
        <v>54545.36</v>
      </c>
      <c r="Q3" s="100">
        <f t="shared" ref="Q3:Q24" si="0">P3+1000</f>
        <v>55545.36</v>
      </c>
    </row>
    <row r="4" spans="1:18" x14ac:dyDescent="0.3">
      <c r="A4" s="83" t="s">
        <v>162</v>
      </c>
      <c r="B4" s="84">
        <v>50678.8</v>
      </c>
      <c r="G4" s="85">
        <v>3</v>
      </c>
      <c r="H4" s="85">
        <v>202</v>
      </c>
      <c r="J4">
        <v>3</v>
      </c>
      <c r="K4" s="83" t="s">
        <v>162</v>
      </c>
      <c r="L4" s="84">
        <v>50678.8</v>
      </c>
      <c r="M4" s="86"/>
      <c r="N4">
        <v>3</v>
      </c>
      <c r="O4" s="99" t="s">
        <v>162</v>
      </c>
      <c r="P4" s="84">
        <v>50678.8</v>
      </c>
      <c r="Q4" s="100">
        <f t="shared" si="0"/>
        <v>51678.8</v>
      </c>
    </row>
    <row r="5" spans="1:18" x14ac:dyDescent="0.3">
      <c r="A5" s="83" t="s">
        <v>163</v>
      </c>
      <c r="B5" s="84">
        <v>50426.8</v>
      </c>
      <c r="G5" s="85">
        <v>4</v>
      </c>
      <c r="H5" s="85">
        <v>203</v>
      </c>
      <c r="J5">
        <v>4</v>
      </c>
      <c r="K5" s="83" t="s">
        <v>163</v>
      </c>
      <c r="L5" s="84">
        <v>50426.8</v>
      </c>
      <c r="M5" s="86"/>
      <c r="N5">
        <v>4</v>
      </c>
      <c r="O5" s="99" t="s">
        <v>164</v>
      </c>
      <c r="P5" s="84">
        <v>52400</v>
      </c>
      <c r="Q5" s="100">
        <f t="shared" si="0"/>
        <v>53400</v>
      </c>
    </row>
    <row r="6" spans="1:18" x14ac:dyDescent="0.3">
      <c r="A6" s="83" t="s">
        <v>165</v>
      </c>
      <c r="B6" s="84">
        <v>51814.76</v>
      </c>
      <c r="G6" s="85">
        <v>5</v>
      </c>
      <c r="H6" s="85">
        <v>204</v>
      </c>
      <c r="J6">
        <v>5</v>
      </c>
      <c r="K6" s="83" t="s">
        <v>165</v>
      </c>
      <c r="L6" s="84">
        <v>51814.76</v>
      </c>
      <c r="M6" s="86"/>
      <c r="N6">
        <v>5</v>
      </c>
      <c r="O6" s="99" t="s">
        <v>165</v>
      </c>
      <c r="P6" s="84">
        <v>51814.76</v>
      </c>
      <c r="Q6" s="100">
        <f t="shared" si="0"/>
        <v>52814.76</v>
      </c>
    </row>
    <row r="7" spans="1:18" x14ac:dyDescent="0.3">
      <c r="A7" s="83" t="s">
        <v>166</v>
      </c>
      <c r="B7" s="84">
        <v>53578.64</v>
      </c>
      <c r="G7" s="85">
        <v>6</v>
      </c>
      <c r="H7" s="85">
        <v>205</v>
      </c>
      <c r="J7">
        <v>6</v>
      </c>
      <c r="K7" s="83" t="s">
        <v>166</v>
      </c>
      <c r="L7" s="84">
        <v>53578.64</v>
      </c>
      <c r="M7" s="86"/>
      <c r="N7">
        <v>6</v>
      </c>
      <c r="O7" s="101" t="s">
        <v>167</v>
      </c>
      <c r="P7" s="88">
        <v>56500</v>
      </c>
      <c r="Q7" s="103">
        <f t="shared" si="0"/>
        <v>57500</v>
      </c>
      <c r="R7" s="89"/>
    </row>
    <row r="8" spans="1:18" x14ac:dyDescent="0.3">
      <c r="A8" s="83" t="s">
        <v>168</v>
      </c>
      <c r="B8" s="84">
        <v>72454.880000000005</v>
      </c>
      <c r="G8" s="85">
        <v>7</v>
      </c>
      <c r="H8" s="85">
        <v>206</v>
      </c>
      <c r="J8" s="89">
        <v>7</v>
      </c>
      <c r="K8" s="87" t="s">
        <v>168</v>
      </c>
      <c r="L8" s="88">
        <v>55000</v>
      </c>
      <c r="M8" s="86"/>
      <c r="N8">
        <v>7</v>
      </c>
      <c r="O8" s="102" t="s">
        <v>169</v>
      </c>
      <c r="P8" s="91">
        <v>52400</v>
      </c>
      <c r="Q8" s="100">
        <f t="shared" si="0"/>
        <v>53400</v>
      </c>
    </row>
    <row r="9" spans="1:18" x14ac:dyDescent="0.3">
      <c r="A9" s="83" t="s">
        <v>170</v>
      </c>
      <c r="B9" s="84">
        <v>50678.8</v>
      </c>
      <c r="G9" s="85">
        <v>8</v>
      </c>
      <c r="H9" s="85">
        <v>207</v>
      </c>
      <c r="J9">
        <v>8</v>
      </c>
      <c r="K9" s="83" t="s">
        <v>170</v>
      </c>
      <c r="L9" s="84">
        <v>50678.8</v>
      </c>
      <c r="M9" s="86"/>
      <c r="N9">
        <v>8</v>
      </c>
      <c r="O9" s="99" t="s">
        <v>170</v>
      </c>
      <c r="P9" s="84">
        <v>50678.8</v>
      </c>
      <c r="Q9" s="100">
        <f t="shared" si="0"/>
        <v>51678.8</v>
      </c>
    </row>
    <row r="10" spans="1:18" x14ac:dyDescent="0.3">
      <c r="A10" s="83" t="s">
        <v>171</v>
      </c>
      <c r="B10" s="84">
        <v>54714.8</v>
      </c>
      <c r="C10" s="86"/>
      <c r="G10" s="85">
        <v>9</v>
      </c>
      <c r="H10" s="85">
        <v>301</v>
      </c>
      <c r="J10">
        <v>9</v>
      </c>
      <c r="K10" s="83" t="s">
        <v>171</v>
      </c>
      <c r="L10" s="84">
        <v>54714.8</v>
      </c>
      <c r="M10" s="86"/>
      <c r="N10">
        <v>9</v>
      </c>
      <c r="O10" s="99" t="s">
        <v>171</v>
      </c>
      <c r="P10" s="84">
        <v>54714.8</v>
      </c>
      <c r="Q10" s="100">
        <f t="shared" si="0"/>
        <v>55714.8</v>
      </c>
    </row>
    <row r="11" spans="1:18" x14ac:dyDescent="0.3">
      <c r="A11" s="83" t="s">
        <v>172</v>
      </c>
      <c r="B11" s="84">
        <v>50678.8</v>
      </c>
      <c r="G11" s="85">
        <v>10</v>
      </c>
      <c r="H11" s="85">
        <v>302</v>
      </c>
      <c r="J11">
        <v>10</v>
      </c>
      <c r="K11" s="83" t="s">
        <v>172</v>
      </c>
      <c r="L11" s="84">
        <v>50678.8</v>
      </c>
      <c r="M11" s="86"/>
      <c r="N11">
        <v>10</v>
      </c>
      <c r="O11" s="99" t="s">
        <v>172</v>
      </c>
      <c r="P11" s="84">
        <v>50678.8</v>
      </c>
      <c r="Q11" s="100">
        <f t="shared" si="0"/>
        <v>51678.8</v>
      </c>
    </row>
    <row r="12" spans="1:18" x14ac:dyDescent="0.3">
      <c r="A12" s="83" t="s">
        <v>173</v>
      </c>
      <c r="B12" s="84">
        <v>51814.48</v>
      </c>
      <c r="G12" s="85">
        <v>11</v>
      </c>
      <c r="H12" s="85">
        <v>401</v>
      </c>
      <c r="J12">
        <v>11</v>
      </c>
      <c r="K12" s="83" t="s">
        <v>173</v>
      </c>
      <c r="L12" s="84">
        <v>51814.48</v>
      </c>
      <c r="M12" s="86"/>
      <c r="N12">
        <v>11</v>
      </c>
      <c r="O12" s="99" t="s">
        <v>173</v>
      </c>
      <c r="P12" s="84">
        <v>51814.48</v>
      </c>
      <c r="Q12" s="100">
        <f t="shared" si="0"/>
        <v>52814.48</v>
      </c>
    </row>
    <row r="13" spans="1:18" x14ac:dyDescent="0.3">
      <c r="A13" s="83" t="s">
        <v>174</v>
      </c>
      <c r="B13" s="84">
        <v>51814.400000000001</v>
      </c>
      <c r="G13" s="85">
        <v>12</v>
      </c>
      <c r="H13" s="85">
        <v>402</v>
      </c>
      <c r="J13">
        <v>12</v>
      </c>
      <c r="K13" s="83" t="s">
        <v>174</v>
      </c>
      <c r="L13" s="84">
        <v>51814.400000000001</v>
      </c>
      <c r="M13" s="86"/>
      <c r="N13">
        <v>12</v>
      </c>
      <c r="O13" s="99" t="s">
        <v>174</v>
      </c>
      <c r="P13" s="84">
        <v>51814.400000000001</v>
      </c>
      <c r="Q13" s="100">
        <f t="shared" si="0"/>
        <v>52814.400000000001</v>
      </c>
    </row>
    <row r="14" spans="1:18" x14ac:dyDescent="0.3">
      <c r="A14" s="83" t="s">
        <v>175</v>
      </c>
      <c r="B14" s="84">
        <v>55730.76</v>
      </c>
      <c r="G14" s="85">
        <v>13</v>
      </c>
      <c r="H14" s="85">
        <v>403</v>
      </c>
      <c r="J14">
        <v>13</v>
      </c>
      <c r="K14" s="83" t="s">
        <v>175</v>
      </c>
      <c r="L14" s="84">
        <v>55730.76</v>
      </c>
      <c r="M14" s="86"/>
      <c r="N14">
        <v>13</v>
      </c>
      <c r="O14" s="99" t="s">
        <v>175</v>
      </c>
      <c r="P14" s="84">
        <v>55730.76</v>
      </c>
      <c r="Q14" s="100">
        <f t="shared" si="0"/>
        <v>56730.76</v>
      </c>
    </row>
    <row r="15" spans="1:18" x14ac:dyDescent="0.3">
      <c r="A15" s="83" t="s">
        <v>176</v>
      </c>
      <c r="B15" s="84">
        <v>50679.360000000001</v>
      </c>
      <c r="G15" s="85">
        <v>14</v>
      </c>
      <c r="H15" s="85">
        <v>404</v>
      </c>
      <c r="J15">
        <v>14</v>
      </c>
      <c r="K15" s="83" t="s">
        <v>176</v>
      </c>
      <c r="L15" s="84">
        <v>50679.360000000001</v>
      </c>
      <c r="M15" s="86"/>
      <c r="N15">
        <v>14</v>
      </c>
      <c r="O15" s="99" t="s">
        <v>176</v>
      </c>
      <c r="P15" s="84">
        <v>50679.360000000001</v>
      </c>
      <c r="Q15" s="100">
        <f t="shared" si="0"/>
        <v>51679.360000000001</v>
      </c>
    </row>
    <row r="16" spans="1:18" x14ac:dyDescent="0.3">
      <c r="A16" s="83" t="s">
        <v>177</v>
      </c>
      <c r="B16" s="84">
        <v>51814.400000000001</v>
      </c>
      <c r="G16" s="85">
        <v>15</v>
      </c>
      <c r="H16" s="85">
        <v>405</v>
      </c>
      <c r="J16">
        <v>15</v>
      </c>
      <c r="K16" s="83" t="s">
        <v>177</v>
      </c>
      <c r="L16" s="84">
        <v>51814.400000000001</v>
      </c>
      <c r="M16" s="86"/>
      <c r="N16">
        <v>15</v>
      </c>
      <c r="O16" s="99" t="s">
        <v>177</v>
      </c>
      <c r="P16" s="84">
        <v>51814.400000000001</v>
      </c>
      <c r="Q16" s="100">
        <f t="shared" si="0"/>
        <v>52814.400000000001</v>
      </c>
    </row>
    <row r="17" spans="1:18" x14ac:dyDescent="0.3">
      <c r="A17" s="83" t="s">
        <v>178</v>
      </c>
      <c r="B17" s="84">
        <v>54714.86</v>
      </c>
      <c r="G17" s="85">
        <v>16</v>
      </c>
      <c r="H17" s="85">
        <v>406</v>
      </c>
      <c r="J17">
        <v>16</v>
      </c>
      <c r="K17" s="83" t="s">
        <v>178</v>
      </c>
      <c r="L17" s="84">
        <v>54714.86</v>
      </c>
      <c r="M17" s="86"/>
      <c r="N17">
        <v>16</v>
      </c>
      <c r="O17" s="99" t="s">
        <v>178</v>
      </c>
      <c r="P17" s="84">
        <v>54714.86</v>
      </c>
      <c r="Q17" s="100">
        <f t="shared" si="0"/>
        <v>55714.86</v>
      </c>
    </row>
    <row r="18" spans="1:18" x14ac:dyDescent="0.3">
      <c r="A18" s="83" t="s">
        <v>179</v>
      </c>
      <c r="B18" s="84">
        <v>49260</v>
      </c>
      <c r="G18" s="85">
        <v>17</v>
      </c>
      <c r="H18" s="85">
        <v>407</v>
      </c>
      <c r="J18">
        <v>17</v>
      </c>
      <c r="K18" s="83" t="s">
        <v>179</v>
      </c>
      <c r="L18" s="84">
        <v>49260</v>
      </c>
      <c r="M18" s="86"/>
      <c r="N18">
        <v>17</v>
      </c>
      <c r="O18" s="99" t="s">
        <v>179</v>
      </c>
      <c r="P18" s="84">
        <v>49260</v>
      </c>
      <c r="Q18" s="100">
        <f t="shared" si="0"/>
        <v>50260</v>
      </c>
    </row>
    <row r="19" spans="1:18" x14ac:dyDescent="0.3">
      <c r="A19" s="83" t="s">
        <v>180</v>
      </c>
      <c r="B19" s="84">
        <v>51562.32</v>
      </c>
      <c r="G19" s="85">
        <v>18</v>
      </c>
      <c r="H19" s="85">
        <v>501</v>
      </c>
      <c r="J19">
        <v>18</v>
      </c>
      <c r="K19" s="83" t="s">
        <v>180</v>
      </c>
      <c r="L19" s="84">
        <v>51562.32</v>
      </c>
      <c r="M19" s="86"/>
      <c r="N19">
        <v>18</v>
      </c>
      <c r="O19" s="99" t="s">
        <v>180</v>
      </c>
      <c r="P19" s="84">
        <v>51562.32</v>
      </c>
      <c r="Q19" s="100">
        <f t="shared" si="0"/>
        <v>52562.32</v>
      </c>
    </row>
    <row r="20" spans="1:18" x14ac:dyDescent="0.3">
      <c r="A20" s="83" t="s">
        <v>181</v>
      </c>
      <c r="B20" s="84">
        <v>50678.8</v>
      </c>
      <c r="G20" s="85">
        <v>19</v>
      </c>
      <c r="H20" s="85">
        <v>503</v>
      </c>
      <c r="J20">
        <v>19</v>
      </c>
      <c r="K20" s="83" t="s">
        <v>181</v>
      </c>
      <c r="L20" s="84">
        <v>50678.8</v>
      </c>
      <c r="M20" s="86"/>
      <c r="N20">
        <v>19</v>
      </c>
      <c r="O20" s="99" t="s">
        <v>181</v>
      </c>
      <c r="P20" s="84">
        <v>50678.8</v>
      </c>
      <c r="Q20" s="100">
        <f t="shared" si="0"/>
        <v>51678.8</v>
      </c>
    </row>
    <row r="21" spans="1:18" x14ac:dyDescent="0.3">
      <c r="A21" s="83" t="s">
        <v>182</v>
      </c>
      <c r="B21" s="84">
        <v>59000</v>
      </c>
      <c r="G21" s="85">
        <v>20</v>
      </c>
      <c r="H21" s="85">
        <v>504</v>
      </c>
      <c r="J21">
        <v>20</v>
      </c>
      <c r="K21" s="83" t="s">
        <v>182</v>
      </c>
      <c r="L21" s="84">
        <v>59000</v>
      </c>
      <c r="M21" s="86"/>
      <c r="N21">
        <v>20</v>
      </c>
      <c r="O21" s="99" t="s">
        <v>182</v>
      </c>
      <c r="P21" s="84">
        <v>59000</v>
      </c>
      <c r="Q21" s="100">
        <f t="shared" si="0"/>
        <v>60000</v>
      </c>
    </row>
    <row r="22" spans="1:18" x14ac:dyDescent="0.3">
      <c r="A22" s="83" t="s">
        <v>183</v>
      </c>
      <c r="B22" s="84">
        <v>76066</v>
      </c>
      <c r="G22" s="85">
        <v>21</v>
      </c>
      <c r="H22" s="85">
        <v>505</v>
      </c>
      <c r="J22">
        <v>21</v>
      </c>
      <c r="K22" s="83" t="s">
        <v>183</v>
      </c>
      <c r="L22" s="84">
        <v>76066</v>
      </c>
      <c r="M22" s="86"/>
      <c r="N22">
        <v>21</v>
      </c>
      <c r="O22" s="101" t="s">
        <v>183</v>
      </c>
      <c r="P22" s="88">
        <f>76066/2</f>
        <v>38033</v>
      </c>
      <c r="Q22" s="103">
        <f t="shared" si="0"/>
        <v>39033</v>
      </c>
      <c r="R22" s="89"/>
    </row>
    <row r="23" spans="1:18" x14ac:dyDescent="0.3">
      <c r="A23" s="83" t="s">
        <v>184</v>
      </c>
      <c r="B23" s="84">
        <v>73471.960000000006</v>
      </c>
      <c r="G23" s="92">
        <v>22</v>
      </c>
      <c r="H23" s="85" t="s">
        <v>185</v>
      </c>
      <c r="J23">
        <v>22</v>
      </c>
      <c r="K23" s="83" t="s">
        <v>184</v>
      </c>
      <c r="L23" s="84">
        <v>73471.960000000006</v>
      </c>
      <c r="M23" s="86"/>
      <c r="N23">
        <v>22</v>
      </c>
      <c r="O23" s="99" t="s">
        <v>184</v>
      </c>
      <c r="P23" s="84">
        <v>73471.960000000006</v>
      </c>
      <c r="Q23" s="100">
        <f t="shared" si="0"/>
        <v>74471.960000000006</v>
      </c>
    </row>
    <row r="24" spans="1:18" x14ac:dyDescent="0.3">
      <c r="A24" s="83" t="s">
        <v>186</v>
      </c>
      <c r="B24" s="84">
        <v>50678.8</v>
      </c>
      <c r="G24" s="93">
        <v>23</v>
      </c>
      <c r="H24" s="85" t="s">
        <v>187</v>
      </c>
      <c r="J24">
        <v>23</v>
      </c>
      <c r="K24" s="83" t="s">
        <v>186</v>
      </c>
      <c r="L24" s="84">
        <v>50678.8</v>
      </c>
      <c r="M24" s="86"/>
      <c r="N24">
        <v>23</v>
      </c>
      <c r="O24" s="99" t="s">
        <v>186</v>
      </c>
      <c r="P24" s="84">
        <v>53678.8</v>
      </c>
      <c r="Q24" s="100">
        <f t="shared" si="0"/>
        <v>54678.8</v>
      </c>
    </row>
    <row r="25" spans="1:18" x14ac:dyDescent="0.3">
      <c r="A25" s="83"/>
      <c r="B25" s="84">
        <f>AVERAGE(B2:B24)</f>
        <v>55280.113043478254</v>
      </c>
      <c r="K25" s="83"/>
      <c r="L25" s="84">
        <f>AVERAGE(L2:L24)</f>
        <v>54521.205217391303</v>
      </c>
      <c r="M25" s="86"/>
      <c r="O25" s="99"/>
      <c r="P25" s="84">
        <f>SUM(P2:P24)</f>
        <v>1221249.28</v>
      </c>
      <c r="Q25" s="100">
        <f>SUM(Q2:Q24)</f>
        <v>1244249.28</v>
      </c>
    </row>
    <row r="26" spans="1:18" x14ac:dyDescent="0.3">
      <c r="A26" s="83"/>
      <c r="B26" s="84"/>
      <c r="M26" s="86">
        <f>L25+1200</f>
        <v>55721.205217391303</v>
      </c>
    </row>
    <row r="27" spans="1:18" x14ac:dyDescent="0.3">
      <c r="A27" s="83"/>
      <c r="B27" s="84"/>
      <c r="L27" s="86">
        <f>SUM(L2:L24)</f>
        <v>1253987.72</v>
      </c>
    </row>
    <row r="28" spans="1:18" x14ac:dyDescent="0.3">
      <c r="A28" s="83"/>
      <c r="B28" s="8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052C-73C4-4121-B8A6-2447AD7B7E11}">
  <dimension ref="A1:V87"/>
  <sheetViews>
    <sheetView workbookViewId="0">
      <selection activeCell="H9" sqref="H9"/>
    </sheetView>
  </sheetViews>
  <sheetFormatPr defaultRowHeight="14.4" x14ac:dyDescent="0.3"/>
  <cols>
    <col min="4" max="4" width="16.109375" customWidth="1"/>
    <col min="5" max="5" width="17.88671875" customWidth="1"/>
    <col min="7" max="7" width="12.109375" bestFit="1" customWidth="1"/>
    <col min="8" max="8" width="10.5546875" bestFit="1" customWidth="1"/>
    <col min="10" max="10" width="13.44140625" customWidth="1"/>
    <col min="11" max="11" width="12.109375" bestFit="1" customWidth="1"/>
    <col min="15" max="15" width="13.33203125" customWidth="1"/>
    <col min="16" max="16" width="14.5546875" customWidth="1"/>
    <col min="18" max="18" width="18.77734375" customWidth="1"/>
    <col min="22" max="22" width="12.109375" bestFit="1" customWidth="1"/>
  </cols>
  <sheetData>
    <row r="1" spans="1:21" x14ac:dyDescent="0.3">
      <c r="A1" t="s">
        <v>241</v>
      </c>
      <c r="B1" t="s">
        <v>242</v>
      </c>
    </row>
    <row r="2" spans="1:21" x14ac:dyDescent="0.3">
      <c r="B2" t="s">
        <v>243</v>
      </c>
      <c r="C2">
        <v>1</v>
      </c>
      <c r="D2" s="90" t="s">
        <v>160</v>
      </c>
      <c r="E2" s="108">
        <v>901.4</v>
      </c>
      <c r="F2">
        <v>12</v>
      </c>
      <c r="G2" s="86">
        <f t="shared" ref="G2:G4" si="0">E2*F2</f>
        <v>10816.8</v>
      </c>
      <c r="H2">
        <v>12</v>
      </c>
      <c r="I2">
        <v>13.44</v>
      </c>
      <c r="J2">
        <f>I2*H2</f>
        <v>161.28</v>
      </c>
      <c r="K2">
        <f>500*108%</f>
        <v>540</v>
      </c>
      <c r="O2" s="90" t="s">
        <v>160</v>
      </c>
      <c r="P2" s="91">
        <v>885</v>
      </c>
      <c r="Q2">
        <v>12</v>
      </c>
      <c r="R2" s="86">
        <f t="shared" ref="R2:R4" si="1">P2*Q2</f>
        <v>10620</v>
      </c>
      <c r="S2">
        <v>12</v>
      </c>
      <c r="T2">
        <v>13.44</v>
      </c>
      <c r="U2">
        <f>T2*S2</f>
        <v>161.28</v>
      </c>
    </row>
    <row r="3" spans="1:21" x14ac:dyDescent="0.3">
      <c r="C3">
        <v>2</v>
      </c>
      <c r="D3" s="90" t="s">
        <v>193</v>
      </c>
      <c r="E3" s="108">
        <v>901.4</v>
      </c>
      <c r="F3">
        <v>12</v>
      </c>
      <c r="G3" s="86">
        <f t="shared" si="0"/>
        <v>10816.8</v>
      </c>
      <c r="H3">
        <v>12</v>
      </c>
      <c r="I3">
        <v>8.1</v>
      </c>
      <c r="J3">
        <f t="shared" ref="J3:J34" si="2">I3*H3</f>
        <v>97.199999999999989</v>
      </c>
      <c r="K3">
        <f t="shared" ref="K3:K34" si="3">500*108%</f>
        <v>540</v>
      </c>
      <c r="O3" s="90" t="s">
        <v>193</v>
      </c>
      <c r="P3" s="91">
        <v>885</v>
      </c>
      <c r="Q3">
        <v>12</v>
      </c>
      <c r="R3" s="86">
        <f t="shared" si="1"/>
        <v>10620</v>
      </c>
      <c r="S3">
        <v>12</v>
      </c>
      <c r="T3">
        <v>8.1</v>
      </c>
      <c r="U3">
        <f t="shared" ref="U3:U34" si="4">T3*S3</f>
        <v>97.199999999999989</v>
      </c>
    </row>
    <row r="4" spans="1:21" x14ac:dyDescent="0.3">
      <c r="C4">
        <v>3</v>
      </c>
      <c r="D4" s="90" t="s">
        <v>194</v>
      </c>
      <c r="E4" s="108">
        <v>901.4</v>
      </c>
      <c r="F4">
        <v>12</v>
      </c>
      <c r="G4" s="86">
        <f t="shared" si="0"/>
        <v>10816.8</v>
      </c>
      <c r="H4">
        <v>12</v>
      </c>
      <c r="I4" s="95">
        <v>5.4</v>
      </c>
      <c r="J4">
        <f t="shared" si="2"/>
        <v>64.800000000000011</v>
      </c>
      <c r="K4">
        <f t="shared" si="3"/>
        <v>540</v>
      </c>
      <c r="O4" s="90" t="s">
        <v>194</v>
      </c>
      <c r="P4" s="91">
        <v>885</v>
      </c>
      <c r="Q4">
        <v>12</v>
      </c>
      <c r="R4" s="86">
        <f t="shared" si="1"/>
        <v>10620</v>
      </c>
      <c r="S4">
        <v>12</v>
      </c>
      <c r="T4" s="95">
        <v>5.4</v>
      </c>
      <c r="U4">
        <f t="shared" si="4"/>
        <v>64.800000000000011</v>
      </c>
    </row>
    <row r="5" spans="1:21" x14ac:dyDescent="0.3">
      <c r="B5" t="s">
        <v>245</v>
      </c>
      <c r="C5">
        <v>4</v>
      </c>
      <c r="D5" s="90" t="s">
        <v>161</v>
      </c>
      <c r="E5" s="108">
        <v>901.4</v>
      </c>
      <c r="F5">
        <v>12</v>
      </c>
      <c r="G5" s="86">
        <f>E5*F5</f>
        <v>10816.8</v>
      </c>
      <c r="H5">
        <v>12</v>
      </c>
      <c r="I5">
        <v>8.1</v>
      </c>
      <c r="J5">
        <f t="shared" si="2"/>
        <v>97.199999999999989</v>
      </c>
      <c r="K5">
        <f t="shared" si="3"/>
        <v>540</v>
      </c>
      <c r="O5" s="90" t="s">
        <v>161</v>
      </c>
      <c r="P5" s="91">
        <v>885</v>
      </c>
      <c r="Q5">
        <v>12</v>
      </c>
      <c r="R5" s="86">
        <f>P5*Q5</f>
        <v>10620</v>
      </c>
      <c r="S5">
        <v>12</v>
      </c>
      <c r="T5">
        <v>8.1</v>
      </c>
      <c r="U5">
        <f t="shared" si="4"/>
        <v>97.199999999999989</v>
      </c>
    </row>
    <row r="6" spans="1:21" x14ac:dyDescent="0.3">
      <c r="B6" t="s">
        <v>243</v>
      </c>
      <c r="C6">
        <v>5</v>
      </c>
      <c r="D6" s="90" t="s">
        <v>162</v>
      </c>
      <c r="E6" s="108">
        <v>901.4</v>
      </c>
      <c r="F6">
        <v>12</v>
      </c>
      <c r="G6" s="86">
        <f t="shared" ref="G6:G32" si="5">E6*F6</f>
        <v>10816.8</v>
      </c>
      <c r="H6">
        <v>12</v>
      </c>
      <c r="I6">
        <v>2.2200000000000002</v>
      </c>
      <c r="J6">
        <f t="shared" si="2"/>
        <v>26.64</v>
      </c>
      <c r="K6">
        <f t="shared" si="3"/>
        <v>540</v>
      </c>
      <c r="O6" s="90" t="s">
        <v>162</v>
      </c>
      <c r="P6" s="91">
        <v>885</v>
      </c>
      <c r="Q6">
        <v>12</v>
      </c>
      <c r="R6" s="86">
        <f t="shared" ref="R6:R34" si="6">P6*Q6</f>
        <v>10620</v>
      </c>
      <c r="S6">
        <v>12</v>
      </c>
      <c r="T6">
        <v>2.2200000000000002</v>
      </c>
      <c r="U6">
        <f t="shared" si="4"/>
        <v>26.64</v>
      </c>
    </row>
    <row r="7" spans="1:21" x14ac:dyDescent="0.3">
      <c r="B7" t="s">
        <v>243</v>
      </c>
      <c r="C7">
        <v>6</v>
      </c>
      <c r="D7" s="90" t="s">
        <v>164</v>
      </c>
      <c r="E7" s="108">
        <v>901.4</v>
      </c>
      <c r="F7">
        <v>10</v>
      </c>
      <c r="G7" s="86">
        <f t="shared" si="5"/>
        <v>9014</v>
      </c>
      <c r="H7">
        <v>11</v>
      </c>
      <c r="I7" s="95">
        <v>2.2200000000000002</v>
      </c>
      <c r="J7">
        <f t="shared" si="2"/>
        <v>24.42</v>
      </c>
      <c r="K7">
        <f t="shared" si="3"/>
        <v>540</v>
      </c>
      <c r="O7" s="90" t="s">
        <v>164</v>
      </c>
      <c r="P7" s="91">
        <v>885</v>
      </c>
      <c r="Q7">
        <v>11</v>
      </c>
      <c r="R7" s="86">
        <f t="shared" si="6"/>
        <v>9735</v>
      </c>
      <c r="S7">
        <v>11</v>
      </c>
      <c r="T7" s="95">
        <v>2.2200000000000002</v>
      </c>
      <c r="U7">
        <f t="shared" si="4"/>
        <v>24.42</v>
      </c>
    </row>
    <row r="8" spans="1:21" x14ac:dyDescent="0.3">
      <c r="B8" s="89"/>
      <c r="C8" s="89">
        <v>7</v>
      </c>
      <c r="D8" s="87" t="s">
        <v>165</v>
      </c>
      <c r="E8" s="108">
        <v>901.4</v>
      </c>
      <c r="F8">
        <v>12</v>
      </c>
      <c r="G8" s="86">
        <f t="shared" si="5"/>
        <v>10816.8</v>
      </c>
      <c r="H8">
        <v>12</v>
      </c>
      <c r="I8" s="95">
        <v>5.08</v>
      </c>
      <c r="J8">
        <f t="shared" si="2"/>
        <v>60.96</v>
      </c>
      <c r="K8">
        <f t="shared" si="3"/>
        <v>540</v>
      </c>
      <c r="O8" s="90" t="s">
        <v>165</v>
      </c>
      <c r="P8" s="91">
        <v>885</v>
      </c>
      <c r="Q8">
        <v>12</v>
      </c>
      <c r="R8" s="86">
        <f t="shared" si="6"/>
        <v>10620</v>
      </c>
      <c r="S8">
        <v>12</v>
      </c>
      <c r="T8" s="95">
        <v>5.08</v>
      </c>
      <c r="U8">
        <f t="shared" si="4"/>
        <v>60.96</v>
      </c>
    </row>
    <row r="9" spans="1:21" x14ac:dyDescent="0.3">
      <c r="B9" t="s">
        <v>246</v>
      </c>
      <c r="C9">
        <v>8</v>
      </c>
      <c r="D9" s="90" t="s">
        <v>249</v>
      </c>
      <c r="E9" s="108">
        <v>901.4</v>
      </c>
      <c r="F9">
        <v>10</v>
      </c>
      <c r="G9" s="86">
        <f t="shared" si="5"/>
        <v>9014</v>
      </c>
      <c r="H9">
        <v>11</v>
      </c>
      <c r="I9" s="95">
        <v>2.2200000000000002</v>
      </c>
      <c r="J9">
        <f t="shared" si="2"/>
        <v>24.42</v>
      </c>
      <c r="K9">
        <f t="shared" si="3"/>
        <v>540</v>
      </c>
      <c r="O9" s="90" t="s">
        <v>167</v>
      </c>
      <c r="P9" s="91">
        <v>885</v>
      </c>
      <c r="Q9">
        <v>12</v>
      </c>
      <c r="R9" s="86">
        <f t="shared" si="6"/>
        <v>10620</v>
      </c>
      <c r="S9">
        <v>11</v>
      </c>
      <c r="T9" s="95">
        <v>2.2200000000000002</v>
      </c>
      <c r="U9">
        <f t="shared" si="4"/>
        <v>24.42</v>
      </c>
    </row>
    <row r="10" spans="1:21" x14ac:dyDescent="0.3">
      <c r="B10" s="89"/>
      <c r="C10" s="89">
        <v>9</v>
      </c>
      <c r="D10" s="87" t="s">
        <v>248</v>
      </c>
      <c r="E10" s="108">
        <v>901.4</v>
      </c>
      <c r="F10">
        <v>10</v>
      </c>
      <c r="G10" s="86">
        <f t="shared" si="5"/>
        <v>9014</v>
      </c>
      <c r="H10">
        <v>11</v>
      </c>
      <c r="I10" s="95">
        <v>2.2200000000000002</v>
      </c>
      <c r="J10">
        <f t="shared" si="2"/>
        <v>24.42</v>
      </c>
      <c r="K10">
        <f t="shared" si="3"/>
        <v>540</v>
      </c>
      <c r="O10" s="90" t="s">
        <v>169</v>
      </c>
      <c r="P10" s="91">
        <v>885</v>
      </c>
      <c r="Q10">
        <v>12</v>
      </c>
      <c r="R10" s="86">
        <f t="shared" si="6"/>
        <v>10620</v>
      </c>
      <c r="S10">
        <v>11</v>
      </c>
      <c r="T10" s="95">
        <v>2.2200000000000002</v>
      </c>
      <c r="U10">
        <f t="shared" si="4"/>
        <v>24.42</v>
      </c>
    </row>
    <row r="11" spans="1:21" x14ac:dyDescent="0.3">
      <c r="B11" t="s">
        <v>243</v>
      </c>
      <c r="C11">
        <v>10</v>
      </c>
      <c r="D11" s="90" t="s">
        <v>170</v>
      </c>
      <c r="E11" s="108">
        <v>901.4</v>
      </c>
      <c r="F11">
        <v>12</v>
      </c>
      <c r="G11" s="86">
        <f t="shared" si="5"/>
        <v>10816.8</v>
      </c>
      <c r="H11">
        <v>12</v>
      </c>
      <c r="I11" s="95">
        <v>2.2200000000000002</v>
      </c>
      <c r="J11">
        <f t="shared" si="2"/>
        <v>26.64</v>
      </c>
      <c r="K11">
        <f t="shared" si="3"/>
        <v>540</v>
      </c>
      <c r="O11" s="90" t="s">
        <v>170</v>
      </c>
      <c r="P11" s="91">
        <v>885</v>
      </c>
      <c r="Q11">
        <v>12</v>
      </c>
      <c r="R11" s="86">
        <f t="shared" si="6"/>
        <v>10620</v>
      </c>
      <c r="S11">
        <v>12</v>
      </c>
      <c r="T11" s="95">
        <v>2.2200000000000002</v>
      </c>
      <c r="U11">
        <f t="shared" si="4"/>
        <v>26.64</v>
      </c>
    </row>
    <row r="12" spans="1:21" x14ac:dyDescent="0.3">
      <c r="B12" t="s">
        <v>243</v>
      </c>
      <c r="C12">
        <v>11</v>
      </c>
      <c r="D12" s="90" t="s">
        <v>171</v>
      </c>
      <c r="E12" s="108">
        <v>901.4</v>
      </c>
      <c r="F12">
        <v>12</v>
      </c>
      <c r="G12" s="86">
        <f t="shared" si="5"/>
        <v>10816.8</v>
      </c>
      <c r="H12">
        <v>12</v>
      </c>
      <c r="I12" s="95">
        <v>2.2200000000000002</v>
      </c>
      <c r="J12">
        <f t="shared" si="2"/>
        <v>26.64</v>
      </c>
      <c r="K12">
        <f t="shared" si="3"/>
        <v>540</v>
      </c>
      <c r="O12" s="90" t="s">
        <v>171</v>
      </c>
      <c r="P12" s="91">
        <v>885</v>
      </c>
      <c r="Q12">
        <v>12</v>
      </c>
      <c r="R12" s="86">
        <f t="shared" si="6"/>
        <v>10620</v>
      </c>
      <c r="S12">
        <v>12</v>
      </c>
      <c r="T12" s="95">
        <v>2.2200000000000002</v>
      </c>
      <c r="U12">
        <f t="shared" si="4"/>
        <v>26.64</v>
      </c>
    </row>
    <row r="13" spans="1:21" x14ac:dyDescent="0.3">
      <c r="B13" s="89"/>
      <c r="C13" s="89">
        <v>12</v>
      </c>
      <c r="D13" s="87" t="s">
        <v>172</v>
      </c>
      <c r="E13" s="108">
        <v>901.4</v>
      </c>
      <c r="F13">
        <v>12</v>
      </c>
      <c r="G13" s="86">
        <f t="shared" si="5"/>
        <v>10816.8</v>
      </c>
      <c r="H13">
        <v>12</v>
      </c>
      <c r="I13" s="95">
        <v>2.2200000000000002</v>
      </c>
      <c r="J13">
        <f t="shared" si="2"/>
        <v>26.64</v>
      </c>
      <c r="K13">
        <f t="shared" si="3"/>
        <v>540</v>
      </c>
      <c r="O13" s="90" t="s">
        <v>172</v>
      </c>
      <c r="P13" s="91">
        <v>885</v>
      </c>
      <c r="Q13">
        <v>12</v>
      </c>
      <c r="R13" s="86">
        <f t="shared" si="6"/>
        <v>10620</v>
      </c>
      <c r="S13">
        <v>12</v>
      </c>
      <c r="T13" s="95">
        <v>2.2200000000000002</v>
      </c>
      <c r="U13">
        <f t="shared" si="4"/>
        <v>26.64</v>
      </c>
    </row>
    <row r="14" spans="1:21" x14ac:dyDescent="0.3">
      <c r="B14" t="s">
        <v>243</v>
      </c>
      <c r="C14">
        <v>13</v>
      </c>
      <c r="D14" s="90" t="s">
        <v>173</v>
      </c>
      <c r="E14" s="108">
        <v>901.4</v>
      </c>
      <c r="F14">
        <v>12</v>
      </c>
      <c r="G14" s="86">
        <f t="shared" si="5"/>
        <v>10816.8</v>
      </c>
      <c r="H14">
        <v>12</v>
      </c>
      <c r="I14" s="95">
        <v>20.2</v>
      </c>
      <c r="J14">
        <f t="shared" si="2"/>
        <v>242.39999999999998</v>
      </c>
      <c r="K14">
        <f t="shared" si="3"/>
        <v>540</v>
      </c>
      <c r="O14" s="90" t="s">
        <v>173</v>
      </c>
      <c r="P14" s="91">
        <v>885</v>
      </c>
      <c r="Q14">
        <v>12</v>
      </c>
      <c r="R14" s="86">
        <f t="shared" si="6"/>
        <v>10620</v>
      </c>
      <c r="S14">
        <v>12</v>
      </c>
      <c r="T14" s="95">
        <v>20.2</v>
      </c>
      <c r="U14">
        <f t="shared" si="4"/>
        <v>242.39999999999998</v>
      </c>
    </row>
    <row r="15" spans="1:21" x14ac:dyDescent="0.3">
      <c r="B15" t="s">
        <v>243</v>
      </c>
      <c r="C15">
        <v>14</v>
      </c>
      <c r="D15" s="90" t="s">
        <v>174</v>
      </c>
      <c r="E15" s="108">
        <v>901.4</v>
      </c>
      <c r="F15">
        <v>12</v>
      </c>
      <c r="G15" s="86">
        <f t="shared" si="5"/>
        <v>10816.8</v>
      </c>
      <c r="H15">
        <v>12</v>
      </c>
      <c r="I15" s="95">
        <v>2.2200000000000002</v>
      </c>
      <c r="J15">
        <f t="shared" si="2"/>
        <v>26.64</v>
      </c>
      <c r="K15">
        <f t="shared" si="3"/>
        <v>540</v>
      </c>
      <c r="O15" s="90" t="s">
        <v>174</v>
      </c>
      <c r="P15" s="91">
        <v>885</v>
      </c>
      <c r="Q15">
        <v>12</v>
      </c>
      <c r="R15" s="86">
        <f t="shared" si="6"/>
        <v>10620</v>
      </c>
      <c r="S15">
        <v>12</v>
      </c>
      <c r="T15" s="95">
        <v>2.2200000000000002</v>
      </c>
      <c r="U15">
        <f t="shared" si="4"/>
        <v>26.64</v>
      </c>
    </row>
    <row r="16" spans="1:21" x14ac:dyDescent="0.3">
      <c r="B16" t="s">
        <v>243</v>
      </c>
      <c r="C16">
        <v>15</v>
      </c>
      <c r="D16" s="90" t="s">
        <v>175</v>
      </c>
      <c r="E16" s="108">
        <v>901.4</v>
      </c>
      <c r="F16">
        <v>12</v>
      </c>
      <c r="G16" s="86">
        <f t="shared" si="5"/>
        <v>10816.8</v>
      </c>
      <c r="H16">
        <v>12</v>
      </c>
      <c r="I16" s="95">
        <v>13.44</v>
      </c>
      <c r="J16">
        <f t="shared" si="2"/>
        <v>161.28</v>
      </c>
      <c r="K16">
        <f t="shared" si="3"/>
        <v>540</v>
      </c>
      <c r="O16" s="90" t="s">
        <v>175</v>
      </c>
      <c r="P16" s="91">
        <v>885</v>
      </c>
      <c r="Q16">
        <v>12</v>
      </c>
      <c r="R16" s="86">
        <f t="shared" si="6"/>
        <v>10620</v>
      </c>
      <c r="S16">
        <v>12</v>
      </c>
      <c r="T16" s="95">
        <v>13.44</v>
      </c>
      <c r="U16">
        <f t="shared" si="4"/>
        <v>161.28</v>
      </c>
    </row>
    <row r="17" spans="1:21" x14ac:dyDescent="0.3">
      <c r="B17" t="s">
        <v>243</v>
      </c>
      <c r="C17">
        <v>16</v>
      </c>
      <c r="D17" s="90" t="s">
        <v>176</v>
      </c>
      <c r="E17" s="108">
        <v>901.4</v>
      </c>
      <c r="F17">
        <v>12</v>
      </c>
      <c r="G17" s="86">
        <f t="shared" si="5"/>
        <v>10816.8</v>
      </c>
      <c r="H17">
        <v>12</v>
      </c>
      <c r="I17" s="95">
        <v>2.82</v>
      </c>
      <c r="J17">
        <f t="shared" si="2"/>
        <v>33.839999999999996</v>
      </c>
      <c r="K17">
        <f t="shared" si="3"/>
        <v>540</v>
      </c>
      <c r="O17" s="90" t="s">
        <v>176</v>
      </c>
      <c r="P17" s="91">
        <v>885</v>
      </c>
      <c r="Q17">
        <v>12</v>
      </c>
      <c r="R17" s="86">
        <f t="shared" si="6"/>
        <v>10620</v>
      </c>
      <c r="S17">
        <v>12</v>
      </c>
      <c r="T17" s="95">
        <v>2.82</v>
      </c>
      <c r="U17">
        <f t="shared" si="4"/>
        <v>33.839999999999996</v>
      </c>
    </row>
    <row r="18" spans="1:21" x14ac:dyDescent="0.3">
      <c r="B18" t="s">
        <v>243</v>
      </c>
      <c r="C18">
        <v>17</v>
      </c>
      <c r="D18" s="90" t="s">
        <v>177</v>
      </c>
      <c r="E18" s="108">
        <v>901.4</v>
      </c>
      <c r="F18">
        <v>12</v>
      </c>
      <c r="G18" s="86">
        <f t="shared" si="5"/>
        <v>10816.8</v>
      </c>
      <c r="H18">
        <v>12</v>
      </c>
      <c r="I18" s="95">
        <v>2.2200000000000002</v>
      </c>
      <c r="J18">
        <f t="shared" si="2"/>
        <v>26.64</v>
      </c>
      <c r="K18">
        <f t="shared" si="3"/>
        <v>540</v>
      </c>
      <c r="O18" s="90" t="s">
        <v>177</v>
      </c>
      <c r="P18" s="91">
        <v>885</v>
      </c>
      <c r="Q18">
        <v>12</v>
      </c>
      <c r="R18" s="86">
        <f t="shared" si="6"/>
        <v>10620</v>
      </c>
      <c r="S18">
        <v>12</v>
      </c>
      <c r="T18" s="95">
        <v>2.2200000000000002</v>
      </c>
      <c r="U18">
        <f t="shared" si="4"/>
        <v>26.64</v>
      </c>
    </row>
    <row r="19" spans="1:21" x14ac:dyDescent="0.3">
      <c r="B19" t="s">
        <v>243</v>
      </c>
      <c r="C19">
        <v>18</v>
      </c>
      <c r="D19" s="90" t="s">
        <v>178</v>
      </c>
      <c r="E19" s="108">
        <v>901.4</v>
      </c>
      <c r="F19">
        <v>12</v>
      </c>
      <c r="G19" s="86">
        <f t="shared" si="5"/>
        <v>10816.8</v>
      </c>
      <c r="H19">
        <v>12</v>
      </c>
      <c r="I19" s="95">
        <v>28.84</v>
      </c>
      <c r="J19">
        <f t="shared" si="2"/>
        <v>346.08</v>
      </c>
      <c r="K19">
        <f t="shared" si="3"/>
        <v>540</v>
      </c>
      <c r="O19" s="90" t="s">
        <v>178</v>
      </c>
      <c r="P19" s="91">
        <v>885</v>
      </c>
      <c r="Q19">
        <v>12</v>
      </c>
      <c r="R19" s="86">
        <f t="shared" si="6"/>
        <v>10620</v>
      </c>
      <c r="S19">
        <v>12</v>
      </c>
      <c r="T19" s="95">
        <v>28.84</v>
      </c>
      <c r="U19">
        <f t="shared" si="4"/>
        <v>346.08</v>
      </c>
    </row>
    <row r="20" spans="1:21" x14ac:dyDescent="0.3">
      <c r="B20" t="s">
        <v>247</v>
      </c>
      <c r="C20">
        <v>19</v>
      </c>
      <c r="D20" s="90" t="s">
        <v>179</v>
      </c>
      <c r="E20" s="108">
        <v>901.4</v>
      </c>
      <c r="F20">
        <v>0</v>
      </c>
      <c r="G20" s="86">
        <f t="shared" si="5"/>
        <v>0</v>
      </c>
      <c r="H20">
        <v>12</v>
      </c>
      <c r="I20" s="95">
        <v>5.08</v>
      </c>
      <c r="J20">
        <f t="shared" si="2"/>
        <v>60.96</v>
      </c>
      <c r="K20">
        <f t="shared" si="3"/>
        <v>540</v>
      </c>
      <c r="O20" s="90" t="s">
        <v>179</v>
      </c>
      <c r="P20" s="91">
        <v>885</v>
      </c>
      <c r="Q20">
        <v>12</v>
      </c>
      <c r="R20" s="86">
        <f t="shared" si="6"/>
        <v>10620</v>
      </c>
      <c r="S20">
        <v>12</v>
      </c>
      <c r="T20" s="95">
        <v>5.08</v>
      </c>
      <c r="U20">
        <f t="shared" si="4"/>
        <v>60.96</v>
      </c>
    </row>
    <row r="21" spans="1:21" x14ac:dyDescent="0.3">
      <c r="B21" t="s">
        <v>243</v>
      </c>
      <c r="C21">
        <v>20</v>
      </c>
      <c r="D21" s="90" t="s">
        <v>180</v>
      </c>
      <c r="E21" s="108">
        <v>901.4</v>
      </c>
      <c r="F21">
        <v>12</v>
      </c>
      <c r="G21" s="86">
        <f t="shared" si="5"/>
        <v>10816.8</v>
      </c>
      <c r="H21">
        <v>12</v>
      </c>
      <c r="I21" s="95">
        <v>5.08</v>
      </c>
      <c r="J21">
        <f t="shared" si="2"/>
        <v>60.96</v>
      </c>
      <c r="K21">
        <f t="shared" si="3"/>
        <v>540</v>
      </c>
      <c r="O21" s="90" t="s">
        <v>180</v>
      </c>
      <c r="P21" s="91">
        <v>885</v>
      </c>
      <c r="Q21">
        <v>12</v>
      </c>
      <c r="R21" s="86">
        <f t="shared" si="6"/>
        <v>10620</v>
      </c>
      <c r="S21">
        <v>12</v>
      </c>
      <c r="T21" s="95">
        <v>5.08</v>
      </c>
      <c r="U21">
        <f t="shared" si="4"/>
        <v>60.96</v>
      </c>
    </row>
    <row r="22" spans="1:21" x14ac:dyDescent="0.3">
      <c r="B22" s="89"/>
      <c r="C22" s="89">
        <v>21</v>
      </c>
      <c r="D22" s="87" t="s">
        <v>181</v>
      </c>
      <c r="E22" s="108">
        <v>901.4</v>
      </c>
      <c r="F22">
        <v>12</v>
      </c>
      <c r="G22" s="86">
        <f t="shared" si="5"/>
        <v>10816.8</v>
      </c>
      <c r="H22">
        <v>12</v>
      </c>
      <c r="I22" s="95">
        <v>2.2200000000000002</v>
      </c>
      <c r="J22">
        <f t="shared" si="2"/>
        <v>26.64</v>
      </c>
      <c r="K22">
        <f t="shared" si="3"/>
        <v>540</v>
      </c>
      <c r="O22" s="90" t="s">
        <v>181</v>
      </c>
      <c r="P22" s="91">
        <v>885</v>
      </c>
      <c r="Q22">
        <v>12</v>
      </c>
      <c r="R22" s="86">
        <f t="shared" si="6"/>
        <v>10620</v>
      </c>
      <c r="S22">
        <v>12</v>
      </c>
      <c r="T22" s="95">
        <v>2.2200000000000002</v>
      </c>
      <c r="U22">
        <f t="shared" si="4"/>
        <v>26.64</v>
      </c>
    </row>
    <row r="23" spans="1:21" x14ac:dyDescent="0.3">
      <c r="B23" s="89"/>
      <c r="C23" s="89">
        <v>22</v>
      </c>
      <c r="D23" s="87" t="s">
        <v>182</v>
      </c>
      <c r="E23" s="108">
        <v>901.4</v>
      </c>
      <c r="F23">
        <v>12</v>
      </c>
      <c r="G23" s="86">
        <f t="shared" si="5"/>
        <v>10816.8</v>
      </c>
      <c r="H23">
        <v>12</v>
      </c>
      <c r="I23" s="95">
        <v>3.88</v>
      </c>
      <c r="J23">
        <f t="shared" si="2"/>
        <v>46.56</v>
      </c>
      <c r="K23">
        <f t="shared" si="3"/>
        <v>540</v>
      </c>
      <c r="O23" s="90" t="s">
        <v>182</v>
      </c>
      <c r="P23" s="91">
        <v>885</v>
      </c>
      <c r="Q23">
        <v>12</v>
      </c>
      <c r="R23" s="86">
        <f t="shared" si="6"/>
        <v>10620</v>
      </c>
      <c r="S23">
        <v>12</v>
      </c>
      <c r="T23" s="95">
        <v>3.88</v>
      </c>
      <c r="U23">
        <f t="shared" si="4"/>
        <v>46.56</v>
      </c>
    </row>
    <row r="24" spans="1:21" x14ac:dyDescent="0.3">
      <c r="B24" t="s">
        <v>243</v>
      </c>
      <c r="C24">
        <v>23</v>
      </c>
      <c r="D24" s="90" t="s">
        <v>183</v>
      </c>
      <c r="E24" s="108">
        <v>901.4</v>
      </c>
      <c r="F24">
        <v>9</v>
      </c>
      <c r="G24" s="86">
        <f t="shared" si="5"/>
        <v>8112.5999999999995</v>
      </c>
      <c r="H24">
        <v>7</v>
      </c>
      <c r="I24" s="95">
        <v>55.6</v>
      </c>
      <c r="J24">
        <f t="shared" si="2"/>
        <v>389.2</v>
      </c>
      <c r="K24">
        <f t="shared" si="3"/>
        <v>540</v>
      </c>
      <c r="O24" s="90" t="s">
        <v>183</v>
      </c>
      <c r="P24" s="91">
        <v>885</v>
      </c>
      <c r="Q24">
        <v>12</v>
      </c>
      <c r="R24" s="86">
        <f t="shared" si="6"/>
        <v>10620</v>
      </c>
      <c r="S24">
        <v>12</v>
      </c>
      <c r="T24" s="95">
        <v>55.6</v>
      </c>
      <c r="U24">
        <f t="shared" si="4"/>
        <v>667.2</v>
      </c>
    </row>
    <row r="25" spans="1:21" x14ac:dyDescent="0.3">
      <c r="B25" s="89"/>
      <c r="C25" s="89">
        <v>24</v>
      </c>
      <c r="D25" s="87" t="s">
        <v>184</v>
      </c>
      <c r="E25" s="108">
        <v>901.4</v>
      </c>
      <c r="F25">
        <v>12</v>
      </c>
      <c r="G25" s="86">
        <f t="shared" si="5"/>
        <v>10816.8</v>
      </c>
      <c r="H25">
        <v>12</v>
      </c>
      <c r="I25" s="95">
        <v>20.2</v>
      </c>
      <c r="J25">
        <f t="shared" si="2"/>
        <v>242.39999999999998</v>
      </c>
      <c r="K25">
        <f t="shared" si="3"/>
        <v>540</v>
      </c>
      <c r="O25" s="90" t="s">
        <v>184</v>
      </c>
      <c r="P25" s="91">
        <v>885</v>
      </c>
      <c r="Q25">
        <v>12</v>
      </c>
      <c r="R25" s="86">
        <f t="shared" si="6"/>
        <v>10620</v>
      </c>
      <c r="S25">
        <v>12</v>
      </c>
      <c r="T25" s="95">
        <v>20.2</v>
      </c>
      <c r="U25">
        <f t="shared" si="4"/>
        <v>242.39999999999998</v>
      </c>
    </row>
    <row r="26" spans="1:21" x14ac:dyDescent="0.3">
      <c r="B26" t="s">
        <v>243</v>
      </c>
      <c r="C26">
        <v>25</v>
      </c>
      <c r="D26" s="90" t="s">
        <v>186</v>
      </c>
      <c r="E26" s="108">
        <v>901.4</v>
      </c>
      <c r="F26">
        <v>12</v>
      </c>
      <c r="G26" s="86">
        <f t="shared" si="5"/>
        <v>10816.8</v>
      </c>
      <c r="H26">
        <v>12</v>
      </c>
      <c r="I26" s="95">
        <v>2.82</v>
      </c>
      <c r="J26">
        <f t="shared" si="2"/>
        <v>33.839999999999996</v>
      </c>
      <c r="K26">
        <f t="shared" si="3"/>
        <v>540</v>
      </c>
      <c r="O26" s="90" t="s">
        <v>186</v>
      </c>
      <c r="P26" s="91">
        <v>885</v>
      </c>
      <c r="Q26">
        <v>12</v>
      </c>
      <c r="R26" s="86">
        <f t="shared" si="6"/>
        <v>10620</v>
      </c>
      <c r="S26">
        <v>12</v>
      </c>
      <c r="T26" s="95">
        <v>2.82</v>
      </c>
      <c r="U26">
        <f t="shared" si="4"/>
        <v>33.839999999999996</v>
      </c>
    </row>
    <row r="27" spans="1:21" x14ac:dyDescent="0.3">
      <c r="B27" t="s">
        <v>243</v>
      </c>
      <c r="C27">
        <v>26</v>
      </c>
      <c r="D27" s="94" t="s">
        <v>188</v>
      </c>
      <c r="E27" s="108">
        <v>901.4</v>
      </c>
      <c r="F27">
        <v>12</v>
      </c>
      <c r="G27" s="86">
        <f t="shared" si="5"/>
        <v>10816.8</v>
      </c>
      <c r="H27">
        <v>12</v>
      </c>
      <c r="I27" s="95">
        <v>2.82</v>
      </c>
      <c r="J27">
        <f t="shared" si="2"/>
        <v>33.839999999999996</v>
      </c>
      <c r="K27">
        <f t="shared" si="3"/>
        <v>540</v>
      </c>
      <c r="O27" s="94" t="s">
        <v>188</v>
      </c>
      <c r="P27" s="91">
        <v>885</v>
      </c>
      <c r="Q27">
        <v>12</v>
      </c>
      <c r="R27" s="86">
        <f t="shared" si="6"/>
        <v>10620</v>
      </c>
      <c r="S27">
        <v>12</v>
      </c>
      <c r="T27" s="95">
        <v>2.82</v>
      </c>
      <c r="U27">
        <f t="shared" si="4"/>
        <v>33.839999999999996</v>
      </c>
    </row>
    <row r="28" spans="1:21" x14ac:dyDescent="0.3">
      <c r="B28" s="89"/>
      <c r="C28" s="89">
        <v>27</v>
      </c>
      <c r="D28" s="109" t="s">
        <v>189</v>
      </c>
      <c r="E28" s="108">
        <v>901.4</v>
      </c>
      <c r="F28">
        <v>12</v>
      </c>
      <c r="G28" s="86">
        <f t="shared" si="5"/>
        <v>10816.8</v>
      </c>
      <c r="H28">
        <v>12</v>
      </c>
      <c r="I28" s="89"/>
      <c r="J28">
        <f t="shared" si="2"/>
        <v>0</v>
      </c>
      <c r="K28">
        <f t="shared" si="3"/>
        <v>540</v>
      </c>
      <c r="O28" s="94" t="s">
        <v>189</v>
      </c>
      <c r="P28" s="91">
        <v>885</v>
      </c>
      <c r="Q28">
        <v>12</v>
      </c>
      <c r="R28" s="86">
        <f t="shared" si="6"/>
        <v>10620</v>
      </c>
      <c r="S28">
        <v>12</v>
      </c>
      <c r="T28" s="89"/>
      <c r="U28">
        <f t="shared" si="4"/>
        <v>0</v>
      </c>
    </row>
    <row r="29" spans="1:21" x14ac:dyDescent="0.3">
      <c r="B29" s="89"/>
      <c r="C29" s="89">
        <v>28</v>
      </c>
      <c r="D29" s="109" t="s">
        <v>190</v>
      </c>
      <c r="E29" s="108">
        <v>901.4</v>
      </c>
      <c r="F29">
        <v>12</v>
      </c>
      <c r="G29" s="86">
        <f t="shared" si="5"/>
        <v>10816.8</v>
      </c>
      <c r="H29">
        <v>12</v>
      </c>
      <c r="I29" s="95">
        <v>8.1</v>
      </c>
      <c r="J29">
        <f t="shared" si="2"/>
        <v>97.199999999999989</v>
      </c>
      <c r="K29">
        <f t="shared" si="3"/>
        <v>540</v>
      </c>
      <c r="O29" s="94" t="s">
        <v>190</v>
      </c>
      <c r="P29" s="91">
        <v>885</v>
      </c>
      <c r="Q29">
        <v>12</v>
      </c>
      <c r="R29" s="86">
        <f t="shared" si="6"/>
        <v>10620</v>
      </c>
      <c r="S29">
        <v>12</v>
      </c>
      <c r="T29" s="95">
        <v>8.1</v>
      </c>
      <c r="U29">
        <f t="shared" si="4"/>
        <v>97.199999999999989</v>
      </c>
    </row>
    <row r="30" spans="1:21" x14ac:dyDescent="0.3">
      <c r="B30" s="89"/>
      <c r="C30" s="89">
        <v>29</v>
      </c>
      <c r="D30" s="109" t="s">
        <v>191</v>
      </c>
      <c r="E30" s="108">
        <v>901.4</v>
      </c>
      <c r="F30">
        <v>2</v>
      </c>
      <c r="G30" s="86">
        <f t="shared" si="5"/>
        <v>1802.8</v>
      </c>
      <c r="H30">
        <v>12</v>
      </c>
      <c r="I30" s="95">
        <v>3.7</v>
      </c>
      <c r="J30">
        <f t="shared" si="2"/>
        <v>44.400000000000006</v>
      </c>
      <c r="K30">
        <f t="shared" si="3"/>
        <v>540</v>
      </c>
      <c r="O30" s="94" t="s">
        <v>191</v>
      </c>
      <c r="P30" s="91">
        <v>885</v>
      </c>
      <c r="Q30">
        <v>12</v>
      </c>
      <c r="R30" s="86">
        <f t="shared" si="6"/>
        <v>10620</v>
      </c>
      <c r="S30">
        <v>12</v>
      </c>
      <c r="T30" s="95">
        <v>3.7</v>
      </c>
      <c r="U30">
        <f t="shared" si="4"/>
        <v>44.400000000000006</v>
      </c>
    </row>
    <row r="31" spans="1:21" x14ac:dyDescent="0.3">
      <c r="B31" t="s">
        <v>247</v>
      </c>
      <c r="C31">
        <v>30</v>
      </c>
      <c r="D31" s="94" t="s">
        <v>192</v>
      </c>
      <c r="E31" s="108">
        <v>901.4</v>
      </c>
      <c r="F31">
        <v>0</v>
      </c>
      <c r="G31" s="86">
        <f t="shared" si="5"/>
        <v>0</v>
      </c>
      <c r="H31">
        <v>12</v>
      </c>
      <c r="I31" s="95">
        <v>5.08</v>
      </c>
      <c r="J31">
        <f t="shared" si="2"/>
        <v>60.96</v>
      </c>
      <c r="K31">
        <f t="shared" si="3"/>
        <v>540</v>
      </c>
      <c r="O31" s="94" t="s">
        <v>192</v>
      </c>
      <c r="P31" s="91">
        <v>885</v>
      </c>
      <c r="Q31">
        <v>12</v>
      </c>
      <c r="R31" s="86">
        <f t="shared" si="6"/>
        <v>10620</v>
      </c>
      <c r="S31">
        <v>12</v>
      </c>
      <c r="T31" s="95">
        <v>5.08</v>
      </c>
      <c r="U31">
        <f t="shared" si="4"/>
        <v>60.96</v>
      </c>
    </row>
    <row r="32" spans="1:21" x14ac:dyDescent="0.3">
      <c r="A32" t="s">
        <v>244</v>
      </c>
      <c r="B32" t="s">
        <v>243</v>
      </c>
      <c r="C32">
        <v>31</v>
      </c>
      <c r="D32" s="94" t="s">
        <v>195</v>
      </c>
      <c r="E32" s="108">
        <v>901.4</v>
      </c>
      <c r="F32">
        <v>12</v>
      </c>
      <c r="G32" s="86">
        <f t="shared" si="5"/>
        <v>10816.8</v>
      </c>
      <c r="H32">
        <v>12</v>
      </c>
      <c r="I32" s="95">
        <v>13.44</v>
      </c>
      <c r="J32">
        <f t="shared" si="2"/>
        <v>161.28</v>
      </c>
      <c r="K32">
        <f t="shared" si="3"/>
        <v>540</v>
      </c>
      <c r="O32" s="94" t="s">
        <v>195</v>
      </c>
      <c r="P32" s="91">
        <v>885</v>
      </c>
      <c r="Q32">
        <v>12</v>
      </c>
      <c r="R32" s="86">
        <f t="shared" si="6"/>
        <v>10620</v>
      </c>
      <c r="S32">
        <v>12</v>
      </c>
      <c r="T32" s="95">
        <v>13.44</v>
      </c>
      <c r="U32">
        <f t="shared" si="4"/>
        <v>161.28</v>
      </c>
    </row>
    <row r="33" spans="2:22" x14ac:dyDescent="0.3">
      <c r="B33" s="89"/>
      <c r="C33" s="89">
        <v>32</v>
      </c>
      <c r="D33" s="109" t="s">
        <v>196</v>
      </c>
      <c r="E33" s="108">
        <v>901.4</v>
      </c>
      <c r="F33">
        <v>12</v>
      </c>
      <c r="G33" s="86">
        <f t="shared" ref="G33" si="7">E33*F33</f>
        <v>10816.8</v>
      </c>
      <c r="H33">
        <v>12</v>
      </c>
      <c r="I33" s="95">
        <v>20.2</v>
      </c>
      <c r="J33">
        <f t="shared" si="2"/>
        <v>242.39999999999998</v>
      </c>
      <c r="K33">
        <f t="shared" si="3"/>
        <v>540</v>
      </c>
      <c r="O33" s="94" t="s">
        <v>196</v>
      </c>
      <c r="P33" s="91">
        <v>885</v>
      </c>
      <c r="Q33">
        <v>12</v>
      </c>
      <c r="R33" s="86">
        <f t="shared" si="6"/>
        <v>10620</v>
      </c>
      <c r="S33">
        <v>12</v>
      </c>
      <c r="T33" s="95">
        <v>20.2</v>
      </c>
      <c r="U33">
        <f t="shared" si="4"/>
        <v>242.39999999999998</v>
      </c>
    </row>
    <row r="34" spans="2:22" x14ac:dyDescent="0.3">
      <c r="B34" t="s">
        <v>243</v>
      </c>
      <c r="C34">
        <v>33</v>
      </c>
      <c r="D34" s="94" t="s">
        <v>197</v>
      </c>
      <c r="E34" s="108">
        <v>901.4</v>
      </c>
      <c r="F34">
        <v>12</v>
      </c>
      <c r="G34" s="86">
        <f t="shared" ref="G34:G35" si="8">E34*F34</f>
        <v>10816.8</v>
      </c>
      <c r="H34">
        <v>12</v>
      </c>
      <c r="I34" s="95">
        <v>55.6</v>
      </c>
      <c r="J34">
        <f t="shared" si="2"/>
        <v>667.2</v>
      </c>
      <c r="K34">
        <f t="shared" si="3"/>
        <v>540</v>
      </c>
      <c r="O34" s="94" t="s">
        <v>197</v>
      </c>
      <c r="P34" s="91">
        <v>885</v>
      </c>
      <c r="Q34">
        <v>12</v>
      </c>
      <c r="R34" s="86">
        <f t="shared" si="6"/>
        <v>10620</v>
      </c>
      <c r="S34">
        <v>12</v>
      </c>
      <c r="T34" s="95">
        <v>55.6</v>
      </c>
      <c r="U34">
        <f t="shared" si="4"/>
        <v>667.2</v>
      </c>
    </row>
    <row r="35" spans="2:22" x14ac:dyDescent="0.3">
      <c r="D35" s="94"/>
      <c r="E35" s="108">
        <v>901.4</v>
      </c>
      <c r="F35">
        <v>0</v>
      </c>
      <c r="G35" s="86">
        <f t="shared" si="8"/>
        <v>0</v>
      </c>
      <c r="I35" s="95"/>
      <c r="O35" s="94"/>
      <c r="P35" s="110"/>
      <c r="R35" s="86"/>
      <c r="T35" s="95"/>
    </row>
    <row r="36" spans="2:22" x14ac:dyDescent="0.3">
      <c r="D36" s="94" t="s">
        <v>199</v>
      </c>
      <c r="K36">
        <f>205*108%</f>
        <v>221.4</v>
      </c>
      <c r="O36" s="94" t="s">
        <v>199</v>
      </c>
    </row>
    <row r="37" spans="2:22" x14ac:dyDescent="0.3">
      <c r="D37" s="94" t="s">
        <v>200</v>
      </c>
      <c r="I37" s="44"/>
      <c r="K37">
        <f t="shared" ref="K37:K39" si="9">205*108%</f>
        <v>221.4</v>
      </c>
      <c r="O37" s="94" t="s">
        <v>200</v>
      </c>
      <c r="R37" s="86">
        <f>SUM(R2:R34)</f>
        <v>349575</v>
      </c>
      <c r="U37">
        <f>SUM(U2:U34)</f>
        <v>3943.9800000000005</v>
      </c>
      <c r="V37" s="86">
        <f>R37+U37</f>
        <v>353518.98</v>
      </c>
    </row>
    <row r="38" spans="2:22" x14ac:dyDescent="0.3">
      <c r="D38" s="94" t="s">
        <v>201</v>
      </c>
      <c r="E38" s="86">
        <f>SUM(E2:E34)</f>
        <v>29746.200000000015</v>
      </c>
      <c r="G38" s="86">
        <f>SUM(G2:G37)</f>
        <v>318194.19999999984</v>
      </c>
      <c r="H38">
        <v>329.22</v>
      </c>
      <c r="I38" s="44">
        <f ca="1">SUM(I2:I38)</f>
        <v>329.21999999999997</v>
      </c>
      <c r="K38">
        <f t="shared" si="9"/>
        <v>221.4</v>
      </c>
      <c r="O38" s="94" t="s">
        <v>201</v>
      </c>
    </row>
    <row r="39" spans="2:22" x14ac:dyDescent="0.3">
      <c r="D39" s="94" t="s">
        <v>202</v>
      </c>
      <c r="E39" s="86">
        <f>E38*12</f>
        <v>356954.4000000002</v>
      </c>
      <c r="H39" s="44">
        <f>H38*12</f>
        <v>3950.6400000000003</v>
      </c>
      <c r="I39" s="44">
        <f ca="1">I38*12</f>
        <v>0</v>
      </c>
      <c r="K39">
        <f t="shared" si="9"/>
        <v>221.4</v>
      </c>
      <c r="O39" s="94" t="s">
        <v>202</v>
      </c>
    </row>
    <row r="40" spans="2:22" x14ac:dyDescent="0.3">
      <c r="D40" s="94" t="s">
        <v>203</v>
      </c>
      <c r="O40" s="94" t="s">
        <v>203</v>
      </c>
    </row>
    <row r="41" spans="2:22" x14ac:dyDescent="0.3">
      <c r="K41">
        <f>SUM(K2:K40)</f>
        <v>18705.600000000006</v>
      </c>
    </row>
    <row r="43" spans="2:22" x14ac:dyDescent="0.3">
      <c r="G43" s="86">
        <f>SUM(G2:G38)</f>
        <v>636388.39999999967</v>
      </c>
      <c r="H43" s="86"/>
      <c r="I43" s="86"/>
      <c r="J43" s="86">
        <f>SUM(J2:J38)</f>
        <v>3665.9800000000005</v>
      </c>
      <c r="K43" s="86">
        <f>G43+J43</f>
        <v>640054.37999999966</v>
      </c>
    </row>
    <row r="48" spans="2:22" ht="18" x14ac:dyDescent="0.35">
      <c r="E48" s="115" t="s">
        <v>205</v>
      </c>
      <c r="F48" s="115"/>
      <c r="G48" s="115"/>
    </row>
    <row r="49" spans="5:8" x14ac:dyDescent="0.3">
      <c r="E49" s="90" t="s">
        <v>160</v>
      </c>
      <c r="F49" s="97">
        <v>500</v>
      </c>
      <c r="G49" s="97">
        <f>F49*7.65%</f>
        <v>38.25</v>
      </c>
      <c r="H49" s="97">
        <f>SUM(F49:G49)</f>
        <v>538.25</v>
      </c>
    </row>
    <row r="50" spans="5:8" x14ac:dyDescent="0.3">
      <c r="E50" s="90" t="s">
        <v>193</v>
      </c>
      <c r="F50" s="97">
        <v>500</v>
      </c>
      <c r="G50" s="97">
        <f t="shared" ref="G50:G86" si="10">F50*7.65%</f>
        <v>38.25</v>
      </c>
      <c r="H50" s="97">
        <f t="shared" ref="H50:H77" si="11">SUM(F50:G50)</f>
        <v>538.25</v>
      </c>
    </row>
    <row r="51" spans="5:8" x14ac:dyDescent="0.3">
      <c r="E51" s="90" t="s">
        <v>194</v>
      </c>
      <c r="F51" s="97">
        <v>500</v>
      </c>
      <c r="G51" s="97">
        <f t="shared" si="10"/>
        <v>38.25</v>
      </c>
      <c r="H51" s="97">
        <f t="shared" si="11"/>
        <v>538.25</v>
      </c>
    </row>
    <row r="52" spans="5:8" x14ac:dyDescent="0.3">
      <c r="E52" s="90" t="s">
        <v>161</v>
      </c>
      <c r="F52" s="97">
        <v>500</v>
      </c>
      <c r="G52" s="97">
        <f t="shared" si="10"/>
        <v>38.25</v>
      </c>
      <c r="H52" s="97">
        <f t="shared" si="11"/>
        <v>538.25</v>
      </c>
    </row>
    <row r="53" spans="5:8" x14ac:dyDescent="0.3">
      <c r="E53" s="90" t="s">
        <v>162</v>
      </c>
      <c r="F53" s="97">
        <v>500</v>
      </c>
      <c r="G53" s="97">
        <f t="shared" si="10"/>
        <v>38.25</v>
      </c>
      <c r="H53" s="97">
        <f t="shared" si="11"/>
        <v>538.25</v>
      </c>
    </row>
    <row r="54" spans="5:8" x14ac:dyDescent="0.3">
      <c r="E54" s="90" t="s">
        <v>164</v>
      </c>
      <c r="F54" s="97">
        <v>500</v>
      </c>
      <c r="G54" s="97">
        <f t="shared" si="10"/>
        <v>38.25</v>
      </c>
      <c r="H54" s="97">
        <f t="shared" si="11"/>
        <v>538.25</v>
      </c>
    </row>
    <row r="55" spans="5:8" x14ac:dyDescent="0.3">
      <c r="E55" s="90" t="s">
        <v>165</v>
      </c>
      <c r="F55" s="97">
        <v>500</v>
      </c>
      <c r="G55" s="97">
        <f t="shared" si="10"/>
        <v>38.25</v>
      </c>
      <c r="H55" s="97">
        <f t="shared" si="11"/>
        <v>538.25</v>
      </c>
    </row>
    <row r="56" spans="5:8" x14ac:dyDescent="0.3">
      <c r="E56" s="90" t="s">
        <v>167</v>
      </c>
      <c r="F56" s="97">
        <v>500</v>
      </c>
      <c r="G56" s="97">
        <f t="shared" si="10"/>
        <v>38.25</v>
      </c>
      <c r="H56" s="97">
        <f t="shared" si="11"/>
        <v>538.25</v>
      </c>
    </row>
    <row r="57" spans="5:8" x14ac:dyDescent="0.3">
      <c r="E57" s="90" t="s">
        <v>169</v>
      </c>
      <c r="F57" s="97">
        <v>500</v>
      </c>
      <c r="G57" s="97">
        <f t="shared" si="10"/>
        <v>38.25</v>
      </c>
      <c r="H57" s="97">
        <f t="shared" si="11"/>
        <v>538.25</v>
      </c>
    </row>
    <row r="58" spans="5:8" x14ac:dyDescent="0.3">
      <c r="E58" s="90" t="s">
        <v>170</v>
      </c>
      <c r="F58" s="97">
        <v>500</v>
      </c>
      <c r="G58" s="97">
        <f t="shared" si="10"/>
        <v>38.25</v>
      </c>
      <c r="H58" s="97">
        <f t="shared" si="11"/>
        <v>538.25</v>
      </c>
    </row>
    <row r="59" spans="5:8" x14ac:dyDescent="0.3">
      <c r="E59" s="90" t="s">
        <v>171</v>
      </c>
      <c r="F59" s="97">
        <v>500</v>
      </c>
      <c r="G59" s="97">
        <f t="shared" si="10"/>
        <v>38.25</v>
      </c>
      <c r="H59" s="97">
        <f t="shared" si="11"/>
        <v>538.25</v>
      </c>
    </row>
    <row r="60" spans="5:8" x14ac:dyDescent="0.3">
      <c r="E60" s="90" t="s">
        <v>172</v>
      </c>
      <c r="F60" s="97">
        <v>500</v>
      </c>
      <c r="G60" s="97">
        <f t="shared" si="10"/>
        <v>38.25</v>
      </c>
      <c r="H60" s="97">
        <f t="shared" si="11"/>
        <v>538.25</v>
      </c>
    </row>
    <row r="61" spans="5:8" x14ac:dyDescent="0.3">
      <c r="E61" s="90" t="s">
        <v>173</v>
      </c>
      <c r="F61" s="97">
        <v>500</v>
      </c>
      <c r="G61" s="97">
        <f t="shared" si="10"/>
        <v>38.25</v>
      </c>
      <c r="H61" s="97">
        <f t="shared" si="11"/>
        <v>538.25</v>
      </c>
    </row>
    <row r="62" spans="5:8" x14ac:dyDescent="0.3">
      <c r="E62" s="90" t="s">
        <v>174</v>
      </c>
      <c r="F62" s="97">
        <v>500</v>
      </c>
      <c r="G62" s="97">
        <f t="shared" si="10"/>
        <v>38.25</v>
      </c>
      <c r="H62" s="97">
        <f t="shared" si="11"/>
        <v>538.25</v>
      </c>
    </row>
    <row r="63" spans="5:8" x14ac:dyDescent="0.3">
      <c r="E63" s="90" t="s">
        <v>175</v>
      </c>
      <c r="F63" s="97">
        <v>500</v>
      </c>
      <c r="G63" s="97">
        <f t="shared" si="10"/>
        <v>38.25</v>
      </c>
      <c r="H63" s="97">
        <f t="shared" si="11"/>
        <v>538.25</v>
      </c>
    </row>
    <row r="64" spans="5:8" x14ac:dyDescent="0.3">
      <c r="E64" s="90" t="s">
        <v>176</v>
      </c>
      <c r="F64" s="97">
        <v>500</v>
      </c>
      <c r="G64" s="97">
        <f t="shared" si="10"/>
        <v>38.25</v>
      </c>
      <c r="H64" s="97">
        <f t="shared" si="11"/>
        <v>538.25</v>
      </c>
    </row>
    <row r="65" spans="5:8" x14ac:dyDescent="0.3">
      <c r="E65" s="90" t="s">
        <v>177</v>
      </c>
      <c r="F65" s="97">
        <v>500</v>
      </c>
      <c r="G65" s="97">
        <f t="shared" si="10"/>
        <v>38.25</v>
      </c>
      <c r="H65" s="97">
        <f t="shared" si="11"/>
        <v>538.25</v>
      </c>
    </row>
    <row r="66" spans="5:8" x14ac:dyDescent="0.3">
      <c r="E66" s="90" t="s">
        <v>178</v>
      </c>
      <c r="F66" s="97">
        <v>500</v>
      </c>
      <c r="G66" s="97">
        <f t="shared" si="10"/>
        <v>38.25</v>
      </c>
      <c r="H66" s="97">
        <f t="shared" si="11"/>
        <v>538.25</v>
      </c>
    </row>
    <row r="67" spans="5:8" x14ac:dyDescent="0.3">
      <c r="E67" s="90" t="s">
        <v>179</v>
      </c>
      <c r="F67" s="97">
        <v>500</v>
      </c>
      <c r="G67" s="97">
        <f t="shared" si="10"/>
        <v>38.25</v>
      </c>
      <c r="H67" s="97">
        <f t="shared" si="11"/>
        <v>538.25</v>
      </c>
    </row>
    <row r="68" spans="5:8" x14ac:dyDescent="0.3">
      <c r="E68" s="90" t="s">
        <v>180</v>
      </c>
      <c r="F68" s="97">
        <v>500</v>
      </c>
      <c r="G68" s="97">
        <f t="shared" si="10"/>
        <v>38.25</v>
      </c>
      <c r="H68" s="97">
        <f t="shared" si="11"/>
        <v>538.25</v>
      </c>
    </row>
    <row r="69" spans="5:8" x14ac:dyDescent="0.3">
      <c r="E69" s="90" t="s">
        <v>181</v>
      </c>
      <c r="F69" s="97">
        <v>500</v>
      </c>
      <c r="G69" s="97">
        <f t="shared" si="10"/>
        <v>38.25</v>
      </c>
      <c r="H69" s="97">
        <f t="shared" si="11"/>
        <v>538.25</v>
      </c>
    </row>
    <row r="70" spans="5:8" x14ac:dyDescent="0.3">
      <c r="E70" s="90" t="s">
        <v>182</v>
      </c>
      <c r="F70" s="97">
        <v>500</v>
      </c>
      <c r="G70" s="97">
        <f t="shared" si="10"/>
        <v>38.25</v>
      </c>
      <c r="H70" s="97">
        <f t="shared" si="11"/>
        <v>538.25</v>
      </c>
    </row>
    <row r="71" spans="5:8" x14ac:dyDescent="0.3">
      <c r="E71" s="90" t="s">
        <v>183</v>
      </c>
      <c r="F71" s="97">
        <v>500</v>
      </c>
      <c r="G71" s="97">
        <f t="shared" si="10"/>
        <v>38.25</v>
      </c>
      <c r="H71" s="97">
        <f t="shared" si="11"/>
        <v>538.25</v>
      </c>
    </row>
    <row r="72" spans="5:8" x14ac:dyDescent="0.3">
      <c r="E72" s="90" t="s">
        <v>184</v>
      </c>
      <c r="F72" s="97">
        <v>500</v>
      </c>
      <c r="G72" s="97">
        <f t="shared" si="10"/>
        <v>38.25</v>
      </c>
      <c r="H72" s="97">
        <f t="shared" si="11"/>
        <v>538.25</v>
      </c>
    </row>
    <row r="73" spans="5:8" x14ac:dyDescent="0.3">
      <c r="E73" s="90" t="s">
        <v>186</v>
      </c>
      <c r="F73" s="97">
        <v>500</v>
      </c>
      <c r="G73" s="97">
        <f t="shared" si="10"/>
        <v>38.25</v>
      </c>
      <c r="H73" s="97">
        <f t="shared" si="11"/>
        <v>538.25</v>
      </c>
    </row>
    <row r="74" spans="5:8" x14ac:dyDescent="0.3">
      <c r="E74" s="94" t="s">
        <v>188</v>
      </c>
      <c r="F74" s="97">
        <v>500</v>
      </c>
      <c r="G74" s="97">
        <f t="shared" si="10"/>
        <v>38.25</v>
      </c>
      <c r="H74" s="97">
        <f t="shared" si="11"/>
        <v>538.25</v>
      </c>
    </row>
    <row r="75" spans="5:8" x14ac:dyDescent="0.3">
      <c r="E75" s="94" t="s">
        <v>189</v>
      </c>
      <c r="F75" s="97">
        <v>500</v>
      </c>
      <c r="G75" s="97">
        <f t="shared" si="10"/>
        <v>38.25</v>
      </c>
      <c r="H75" s="97">
        <f t="shared" si="11"/>
        <v>538.25</v>
      </c>
    </row>
    <row r="76" spans="5:8" x14ac:dyDescent="0.3">
      <c r="E76" s="94" t="s">
        <v>190</v>
      </c>
      <c r="F76" s="97">
        <v>500</v>
      </c>
      <c r="G76" s="97">
        <f t="shared" si="10"/>
        <v>38.25</v>
      </c>
      <c r="H76" s="97">
        <f t="shared" si="11"/>
        <v>538.25</v>
      </c>
    </row>
    <row r="77" spans="5:8" x14ac:dyDescent="0.3">
      <c r="E77" s="94" t="s">
        <v>191</v>
      </c>
      <c r="F77" s="97">
        <v>500</v>
      </c>
      <c r="G77" s="97">
        <f t="shared" si="10"/>
        <v>38.25</v>
      </c>
      <c r="H77" s="97">
        <f t="shared" si="11"/>
        <v>538.25</v>
      </c>
    </row>
    <row r="78" spans="5:8" x14ac:dyDescent="0.3">
      <c r="E78" s="94" t="s">
        <v>192</v>
      </c>
      <c r="F78" s="97">
        <v>500</v>
      </c>
      <c r="G78" s="97">
        <f>F78*7.65%</f>
        <v>38.25</v>
      </c>
      <c r="H78" s="97">
        <f>SUM(F78:G78)</f>
        <v>538.25</v>
      </c>
    </row>
    <row r="79" spans="5:8" x14ac:dyDescent="0.3">
      <c r="E79" s="94" t="s">
        <v>195</v>
      </c>
      <c r="F79" s="97">
        <v>500</v>
      </c>
      <c r="G79" s="97">
        <f t="shared" si="10"/>
        <v>38.25</v>
      </c>
      <c r="H79" s="97">
        <f t="shared" ref="H79:H86" si="12">SUM(F79:G79)</f>
        <v>538.25</v>
      </c>
    </row>
    <row r="80" spans="5:8" x14ac:dyDescent="0.3">
      <c r="E80" s="94" t="s">
        <v>196</v>
      </c>
      <c r="F80" s="97">
        <v>500</v>
      </c>
      <c r="G80" s="97">
        <f t="shared" si="10"/>
        <v>38.25</v>
      </c>
      <c r="H80" s="97">
        <f t="shared" si="12"/>
        <v>538.25</v>
      </c>
    </row>
    <row r="81" spans="5:8" x14ac:dyDescent="0.3">
      <c r="E81" s="94" t="s">
        <v>197</v>
      </c>
      <c r="F81" s="97">
        <v>500</v>
      </c>
      <c r="G81" s="97">
        <f t="shared" si="10"/>
        <v>38.25</v>
      </c>
      <c r="H81" s="97">
        <f t="shared" si="12"/>
        <v>538.25</v>
      </c>
    </row>
    <row r="82" spans="5:8" x14ac:dyDescent="0.3">
      <c r="E82" s="94" t="s">
        <v>199</v>
      </c>
      <c r="F82" s="97">
        <v>250</v>
      </c>
      <c r="G82" s="97">
        <f t="shared" si="10"/>
        <v>19.125</v>
      </c>
      <c r="H82" s="97">
        <f t="shared" si="12"/>
        <v>269.125</v>
      </c>
    </row>
    <row r="83" spans="5:8" x14ac:dyDescent="0.3">
      <c r="E83" s="94" t="s">
        <v>200</v>
      </c>
      <c r="F83" s="97">
        <v>250</v>
      </c>
      <c r="G83" s="97">
        <f t="shared" si="10"/>
        <v>19.125</v>
      </c>
      <c r="H83" s="97">
        <f t="shared" si="12"/>
        <v>269.125</v>
      </c>
    </row>
    <row r="84" spans="5:8" x14ac:dyDescent="0.3">
      <c r="E84" s="94" t="s">
        <v>201</v>
      </c>
      <c r="F84" s="97">
        <v>250</v>
      </c>
      <c r="G84" s="97">
        <f t="shared" si="10"/>
        <v>19.125</v>
      </c>
      <c r="H84" s="97">
        <f t="shared" si="12"/>
        <v>269.125</v>
      </c>
    </row>
    <row r="85" spans="5:8" x14ac:dyDescent="0.3">
      <c r="E85" s="94" t="s">
        <v>202</v>
      </c>
      <c r="F85" s="97">
        <v>250</v>
      </c>
      <c r="G85" s="97">
        <f t="shared" si="10"/>
        <v>19.125</v>
      </c>
      <c r="H85" s="97">
        <f t="shared" si="12"/>
        <v>269.125</v>
      </c>
    </row>
    <row r="86" spans="5:8" x14ac:dyDescent="0.3">
      <c r="E86" s="94" t="s">
        <v>203</v>
      </c>
      <c r="F86" s="97">
        <v>250</v>
      </c>
      <c r="G86" s="97">
        <f t="shared" si="10"/>
        <v>19.125</v>
      </c>
      <c r="H86" s="97">
        <f t="shared" si="12"/>
        <v>269.125</v>
      </c>
    </row>
    <row r="87" spans="5:8" x14ac:dyDescent="0.3">
      <c r="H87" s="97">
        <f>SUM(H49:H86)</f>
        <v>19107.875</v>
      </c>
    </row>
  </sheetData>
  <mergeCells count="1">
    <mergeCell ref="E48:G48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25-26 Draft Budget Board Meetig</vt:lpstr>
      <vt:lpstr>Textbooks.Class Supplies</vt:lpstr>
      <vt:lpstr>Clubs</vt:lpstr>
      <vt:lpstr>Flooring</vt:lpstr>
      <vt:lpstr>Teacher Pay</vt:lpstr>
      <vt:lpstr>Insuracen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Alfers</dc:creator>
  <cp:lastModifiedBy>MIKE ALFERS</cp:lastModifiedBy>
  <cp:lastPrinted>2024-11-04T15:48:28Z</cp:lastPrinted>
  <dcterms:created xsi:type="dcterms:W3CDTF">2024-08-15T20:27:33Z</dcterms:created>
  <dcterms:modified xsi:type="dcterms:W3CDTF">2025-10-03T13:21:28Z</dcterms:modified>
</cp:coreProperties>
</file>